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Aba Carregamento" sheetId="1" r:id="rId1"/>
    <sheet name="Insumos" sheetId="2" r:id="rId2"/>
    <sheet name="Qtd postos 20%" sheetId="3" r:id="rId3"/>
    <sheet name="Qtd postos 40%" sheetId="4" r:id="rId4"/>
    <sheet name="Valor posto 20%" sheetId="5" r:id="rId5"/>
    <sheet name="Valor posto 40%" sheetId="6" r:id="rId6"/>
    <sheet name=" Aux. Serviços Gerais " sheetId="7" r:id="rId7"/>
    <sheet name="Encarregado 40%" sheetId="8" r:id="rId8"/>
    <sheet name="Serviços Eventuais" sheetId="9" r:id="rId9"/>
    <sheet name="Resumo da Proposta" sheetId="10" r:id="rId10"/>
  </sheets>
  <definedNames>
    <definedName name="Excel_BuiltIn_Print_Area" localSheetId="4">#REF!</definedName>
    <definedName name="Excel_BuiltIn_Print_Area" localSheetId="5">#REF!</definedName>
  </definedNames>
  <calcPr calcId="145621"/>
  <extLst>
    <ext uri="GoogleSheetsCustomDataVersion1">
      <go:sheetsCustomData xmlns:go="http://customooxmlschemas.google.com/" r:id="rId14" roundtripDataSignature="AMtx7mg8BwG356ZAUnn/iL1Z/Wl3sEWrjQ=="/>
    </ext>
  </extLst>
</workbook>
</file>

<file path=xl/calcChain.xml><?xml version="1.0" encoding="utf-8"?>
<calcChain xmlns="http://schemas.openxmlformats.org/spreadsheetml/2006/main">
  <c r="D38" i="10" l="1"/>
  <c r="C38" i="10"/>
  <c r="C36" i="10"/>
  <c r="C35" i="10"/>
  <c r="C34" i="10"/>
  <c r="D28" i="10"/>
  <c r="D27" i="10"/>
  <c r="D14" i="10"/>
  <c r="D5" i="10"/>
  <c r="G13" i="9"/>
  <c r="G19" i="9" s="1"/>
  <c r="G10" i="9"/>
  <c r="G12" i="9" s="1"/>
  <c r="G18" i="9" s="1"/>
  <c r="G9" i="9"/>
  <c r="G8" i="9"/>
  <c r="G7" i="9"/>
  <c r="G11" i="9" s="1"/>
  <c r="G17" i="9" s="1"/>
  <c r="G23" i="9" s="1"/>
  <c r="G25" i="9" s="1"/>
  <c r="G15" i="10" s="1"/>
  <c r="E15" i="10" s="1"/>
  <c r="G6" i="9"/>
  <c r="G5" i="9"/>
  <c r="I202" i="8"/>
  <c r="I195" i="8"/>
  <c r="I196" i="8" s="1"/>
  <c r="H195" i="8"/>
  <c r="H196" i="8" s="1"/>
  <c r="H192" i="8"/>
  <c r="H193" i="8" s="1"/>
  <c r="F184" i="8"/>
  <c r="I184" i="8" s="1"/>
  <c r="I186" i="8" s="1"/>
  <c r="F192" i="8" s="1"/>
  <c r="I192" i="8" s="1"/>
  <c r="I193" i="8" s="1"/>
  <c r="I198" i="8" s="1"/>
  <c r="I156" i="8"/>
  <c r="I155" i="8"/>
  <c r="I151" i="8"/>
  <c r="I149" i="8"/>
  <c r="I79" i="8"/>
  <c r="I78" i="8"/>
  <c r="I77" i="8"/>
  <c r="I75" i="8"/>
  <c r="H60" i="8"/>
  <c r="F60" i="8"/>
  <c r="I60" i="8" s="1"/>
  <c r="I66" i="8" s="1"/>
  <c r="H28" i="8"/>
  <c r="J36" i="8" s="1"/>
  <c r="J19" i="8"/>
  <c r="H10" i="8"/>
  <c r="H8" i="8"/>
  <c r="I206" i="7"/>
  <c r="I202" i="7"/>
  <c r="I196" i="7"/>
  <c r="H196" i="7"/>
  <c r="I195" i="7"/>
  <c r="H195" i="7"/>
  <c r="H192" i="7"/>
  <c r="H193" i="7" s="1"/>
  <c r="H198" i="7" s="1"/>
  <c r="I184" i="7"/>
  <c r="I186" i="7" s="1"/>
  <c r="F192" i="7" s="1"/>
  <c r="I192" i="7" s="1"/>
  <c r="I193" i="7" s="1"/>
  <c r="I198" i="7" s="1"/>
  <c r="F184" i="7"/>
  <c r="I156" i="7"/>
  <c r="I155" i="7"/>
  <c r="I151" i="7"/>
  <c r="I149" i="7"/>
  <c r="I79" i="7"/>
  <c r="I78" i="7"/>
  <c r="I77" i="7"/>
  <c r="I75" i="7"/>
  <c r="H60" i="7"/>
  <c r="F60" i="7"/>
  <c r="I60" i="7" s="1"/>
  <c r="I66" i="7" s="1"/>
  <c r="H28" i="7"/>
  <c r="J36" i="7" s="1"/>
  <c r="J19" i="7"/>
  <c r="H10" i="7"/>
  <c r="H8" i="7"/>
  <c r="I342" i="6"/>
  <c r="I335" i="6"/>
  <c r="I336" i="6" s="1"/>
  <c r="I333" i="6"/>
  <c r="H333" i="6"/>
  <c r="F329" i="6"/>
  <c r="H326" i="6"/>
  <c r="F326" i="6"/>
  <c r="I326" i="6" s="1"/>
  <c r="F325" i="6"/>
  <c r="F324" i="6"/>
  <c r="F321" i="6"/>
  <c r="F320" i="6"/>
  <c r="F319" i="6"/>
  <c r="F318" i="6"/>
  <c r="F317" i="6"/>
  <c r="I317" i="6" s="1"/>
  <c r="F316" i="6"/>
  <c r="F312" i="6"/>
  <c r="F311" i="6"/>
  <c r="H307" i="6"/>
  <c r="I300" i="6"/>
  <c r="J291" i="6"/>
  <c r="J283" i="6"/>
  <c r="J279" i="6"/>
  <c r="J275" i="6"/>
  <c r="I263" i="6"/>
  <c r="I251" i="6"/>
  <c r="I247" i="6"/>
  <c r="I227" i="6"/>
  <c r="F310" i="6" s="1"/>
  <c r="I215" i="6"/>
  <c r="F307" i="6" s="1"/>
  <c r="I307" i="6" s="1"/>
  <c r="I189" i="6"/>
  <c r="O184" i="6"/>
  <c r="N184" i="6"/>
  <c r="P184" i="6" s="1"/>
  <c r="I184" i="6"/>
  <c r="O183" i="6"/>
  <c r="N183" i="6"/>
  <c r="P183" i="6" s="1"/>
  <c r="I183" i="6"/>
  <c r="I179" i="6"/>
  <c r="I177" i="6"/>
  <c r="J110" i="6"/>
  <c r="I106" i="6"/>
  <c r="I105" i="6"/>
  <c r="I104" i="6"/>
  <c r="I102" i="6"/>
  <c r="I101" i="6"/>
  <c r="I100" i="6"/>
  <c r="H87" i="6"/>
  <c r="F87" i="6"/>
  <c r="I87" i="6" s="1"/>
  <c r="I93" i="6" s="1"/>
  <c r="J61" i="6"/>
  <c r="J99" i="6" s="1"/>
  <c r="H55" i="6"/>
  <c r="H53" i="6"/>
  <c r="J42" i="6"/>
  <c r="J39" i="6"/>
  <c r="H335" i="6" s="1"/>
  <c r="J38" i="6"/>
  <c r="J36" i="6"/>
  <c r="H329" i="6" s="1"/>
  <c r="H330" i="6" s="1"/>
  <c r="J35" i="6"/>
  <c r="J32" i="6"/>
  <c r="J31" i="6"/>
  <c r="H325" i="6" s="1"/>
  <c r="J30" i="6"/>
  <c r="J33" i="6" s="1"/>
  <c r="H327" i="6" s="1"/>
  <c r="J27" i="6"/>
  <c r="H321" i="6" s="1"/>
  <c r="J26" i="6"/>
  <c r="H320" i="6" s="1"/>
  <c r="I320" i="6" s="1"/>
  <c r="J25" i="6"/>
  <c r="H319" i="6" s="1"/>
  <c r="I319" i="6" s="1"/>
  <c r="J24" i="6"/>
  <c r="H318" i="6" s="1"/>
  <c r="J23" i="6"/>
  <c r="H317" i="6" s="1"/>
  <c r="J22" i="6"/>
  <c r="H316" i="6" s="1"/>
  <c r="I316" i="6" s="1"/>
  <c r="I20" i="6"/>
  <c r="I19" i="6"/>
  <c r="H313" i="6" s="1"/>
  <c r="I18" i="6"/>
  <c r="H312" i="6" s="1"/>
  <c r="I312" i="6" s="1"/>
  <c r="I17" i="6"/>
  <c r="H311" i="6" s="1"/>
  <c r="I16" i="6"/>
  <c r="H310" i="6" s="1"/>
  <c r="I15" i="6"/>
  <c r="H309" i="6" s="1"/>
  <c r="I14" i="6"/>
  <c r="H308" i="6" s="1"/>
  <c r="I13" i="6"/>
  <c r="H9" i="6"/>
  <c r="H8" i="6"/>
  <c r="H7" i="6"/>
  <c r="H5" i="6"/>
  <c r="H4" i="6"/>
  <c r="H3" i="6"/>
  <c r="I342" i="5"/>
  <c r="I336" i="5"/>
  <c r="I335" i="5"/>
  <c r="I333" i="5"/>
  <c r="H333" i="5"/>
  <c r="H326" i="5"/>
  <c r="H325" i="5"/>
  <c r="F320" i="5"/>
  <c r="H314" i="5"/>
  <c r="H313" i="5"/>
  <c r="I300" i="5"/>
  <c r="I237" i="5"/>
  <c r="I239" i="5" s="1"/>
  <c r="F313" i="5" s="1"/>
  <c r="I313" i="5" s="1"/>
  <c r="F237" i="5"/>
  <c r="I189" i="5"/>
  <c r="O184" i="5"/>
  <c r="N184" i="5"/>
  <c r="P184" i="5" s="1"/>
  <c r="Q184" i="5" s="1"/>
  <c r="I184" i="5"/>
  <c r="O183" i="5"/>
  <c r="N183" i="5"/>
  <c r="P183" i="5" s="1"/>
  <c r="I183" i="5"/>
  <c r="I179" i="5"/>
  <c r="I177" i="5"/>
  <c r="J110" i="5"/>
  <c r="I106" i="5"/>
  <c r="J103" i="5" s="1"/>
  <c r="I105" i="5"/>
  <c r="I104" i="5"/>
  <c r="I102" i="5"/>
  <c r="I101" i="5"/>
  <c r="I100" i="5"/>
  <c r="H87" i="5"/>
  <c r="F87" i="5"/>
  <c r="I87" i="5" s="1"/>
  <c r="I93" i="5" s="1"/>
  <c r="J61" i="5"/>
  <c r="J99" i="5" s="1"/>
  <c r="H55" i="5"/>
  <c r="H53" i="5"/>
  <c r="J42" i="5"/>
  <c r="J38" i="5"/>
  <c r="J39" i="5" s="1"/>
  <c r="H335" i="5" s="1"/>
  <c r="J35" i="5"/>
  <c r="J36" i="5" s="1"/>
  <c r="H329" i="5" s="1"/>
  <c r="H330" i="5" s="1"/>
  <c r="J32" i="5"/>
  <c r="J31" i="5"/>
  <c r="J30" i="5"/>
  <c r="J27" i="5"/>
  <c r="H321" i="5" s="1"/>
  <c r="J26" i="5"/>
  <c r="H320" i="5" s="1"/>
  <c r="I320" i="5" s="1"/>
  <c r="J25" i="5"/>
  <c r="H319" i="5" s="1"/>
  <c r="J24" i="5"/>
  <c r="H318" i="5" s="1"/>
  <c r="J23" i="5"/>
  <c r="H317" i="5" s="1"/>
  <c r="J22" i="5"/>
  <c r="H316" i="5" s="1"/>
  <c r="I18" i="5"/>
  <c r="H312" i="5" s="1"/>
  <c r="I17" i="5"/>
  <c r="H311" i="5" s="1"/>
  <c r="I16" i="5"/>
  <c r="H310" i="5" s="1"/>
  <c r="I15" i="5"/>
  <c r="H309" i="5" s="1"/>
  <c r="I14" i="5"/>
  <c r="H308" i="5" s="1"/>
  <c r="I13" i="5"/>
  <c r="H307" i="5" s="1"/>
  <c r="H9" i="5"/>
  <c r="H8" i="5"/>
  <c r="H7" i="5"/>
  <c r="H5" i="5"/>
  <c r="H4" i="5"/>
  <c r="H3" i="5"/>
  <c r="C24" i="4"/>
  <c r="K22" i="4" s="1"/>
  <c r="K20" i="4"/>
  <c r="D20" i="4"/>
  <c r="C20" i="4"/>
  <c r="E299" i="6" s="1"/>
  <c r="F298" i="6" s="1"/>
  <c r="B20" i="4"/>
  <c r="K19" i="4"/>
  <c r="D19" i="4"/>
  <c r="C19" i="4"/>
  <c r="C290" i="6" s="1"/>
  <c r="B19" i="4"/>
  <c r="K18" i="4"/>
  <c r="D18" i="4"/>
  <c r="C18" i="4"/>
  <c r="C282" i="6" s="1"/>
  <c r="D281" i="6" s="1"/>
  <c r="B18" i="4"/>
  <c r="K17" i="4"/>
  <c r="F17" i="4"/>
  <c r="I17" i="4" s="1"/>
  <c r="D17" i="4"/>
  <c r="C17" i="4"/>
  <c r="C278" i="6" s="1"/>
  <c r="D277" i="6" s="1"/>
  <c r="B17" i="4"/>
  <c r="K16" i="4"/>
  <c r="E16" i="4"/>
  <c r="D16" i="4"/>
  <c r="C16" i="4"/>
  <c r="C274" i="6" s="1"/>
  <c r="D273" i="6" s="1"/>
  <c r="B16" i="4"/>
  <c r="E15" i="4"/>
  <c r="D15" i="4"/>
  <c r="C15" i="4"/>
  <c r="E266" i="6" s="1"/>
  <c r="F265" i="6" s="1"/>
  <c r="I265" i="6" s="1"/>
  <c r="I267" i="6" s="1"/>
  <c r="B15" i="4"/>
  <c r="K14" i="4"/>
  <c r="F14" i="4"/>
  <c r="I14" i="4" s="1"/>
  <c r="E14" i="4"/>
  <c r="F18" i="4" s="1"/>
  <c r="I18" i="4" s="1"/>
  <c r="D14" i="4"/>
  <c r="C14" i="4"/>
  <c r="E262" i="6" s="1"/>
  <c r="F261" i="6" s="1"/>
  <c r="B14" i="4"/>
  <c r="K13" i="4"/>
  <c r="I13" i="4"/>
  <c r="H13" i="4"/>
  <c r="O13" i="4" s="1"/>
  <c r="G13" i="4"/>
  <c r="F13" i="4"/>
  <c r="E13" i="4"/>
  <c r="D13" i="4"/>
  <c r="C13" i="4"/>
  <c r="E258" i="6" s="1"/>
  <c r="F257" i="6" s="1"/>
  <c r="I257" i="6" s="1"/>
  <c r="I259" i="6" s="1"/>
  <c r="B13" i="4"/>
  <c r="K12" i="4"/>
  <c r="I12" i="4"/>
  <c r="G12" i="4"/>
  <c r="F12" i="4"/>
  <c r="E12" i="4"/>
  <c r="D12" i="4"/>
  <c r="C12" i="4"/>
  <c r="E254" i="6" s="1"/>
  <c r="F253" i="6" s="1"/>
  <c r="I253" i="6" s="1"/>
  <c r="I255" i="6" s="1"/>
  <c r="B12" i="4"/>
  <c r="K11" i="4"/>
  <c r="G11" i="4"/>
  <c r="F11" i="4"/>
  <c r="I11" i="4" s="1"/>
  <c r="E11" i="4"/>
  <c r="D11" i="4"/>
  <c r="C11" i="4"/>
  <c r="E250" i="6" s="1"/>
  <c r="F249" i="6" s="1"/>
  <c r="B11" i="4"/>
  <c r="K10" i="4"/>
  <c r="G10" i="4"/>
  <c r="H10" i="4" s="1"/>
  <c r="O10" i="4" s="1"/>
  <c r="F10" i="4"/>
  <c r="I10" i="4" s="1"/>
  <c r="E10" i="4"/>
  <c r="G14" i="4" s="1"/>
  <c r="D10" i="4"/>
  <c r="C10" i="4"/>
  <c r="E246" i="6" s="1"/>
  <c r="F245" i="6" s="1"/>
  <c r="B10" i="4"/>
  <c r="K9" i="4"/>
  <c r="D9" i="4"/>
  <c r="C9" i="4"/>
  <c r="E238" i="6" s="1"/>
  <c r="B9" i="4"/>
  <c r="O8" i="4"/>
  <c r="K8" i="4"/>
  <c r="I8" i="4"/>
  <c r="H8" i="4"/>
  <c r="G8" i="4"/>
  <c r="F8" i="4"/>
  <c r="E8" i="4"/>
  <c r="D8" i="4"/>
  <c r="C8" i="4"/>
  <c r="E234" i="6" s="1"/>
  <c r="F233" i="6" s="1"/>
  <c r="I233" i="6" s="1"/>
  <c r="B8" i="4"/>
  <c r="O7" i="4"/>
  <c r="K7" i="4"/>
  <c r="H7" i="4"/>
  <c r="G7" i="4"/>
  <c r="F7" i="4"/>
  <c r="I7" i="4" s="1"/>
  <c r="E7" i="4"/>
  <c r="D7" i="4"/>
  <c r="C7" i="4"/>
  <c r="E230" i="6" s="1"/>
  <c r="F229" i="6" s="1"/>
  <c r="B7" i="4"/>
  <c r="K6" i="4"/>
  <c r="F6" i="4"/>
  <c r="I6" i="4" s="1"/>
  <c r="E6" i="4"/>
  <c r="D6" i="4"/>
  <c r="C6" i="4"/>
  <c r="E226" i="6" s="1"/>
  <c r="F225" i="6" s="1"/>
  <c r="B6" i="4"/>
  <c r="K5" i="4"/>
  <c r="I5" i="4"/>
  <c r="H5" i="4"/>
  <c r="O5" i="4" s="1"/>
  <c r="G5" i="4"/>
  <c r="F5" i="4"/>
  <c r="E5" i="4"/>
  <c r="D5" i="4"/>
  <c r="C5" i="4"/>
  <c r="E222" i="6" s="1"/>
  <c r="F221" i="6" s="1"/>
  <c r="I221" i="6" s="1"/>
  <c r="I223" i="6" s="1"/>
  <c r="F309" i="6" s="1"/>
  <c r="B5" i="4"/>
  <c r="K4" i="4"/>
  <c r="E4" i="4"/>
  <c r="D4" i="4"/>
  <c r="C4" i="4"/>
  <c r="E218" i="6" s="1"/>
  <c r="F217" i="6" s="1"/>
  <c r="I217" i="6" s="1"/>
  <c r="I219" i="6" s="1"/>
  <c r="F308" i="6" s="1"/>
  <c r="I308" i="6" s="1"/>
  <c r="B4" i="4"/>
  <c r="E3" i="4"/>
  <c r="D3" i="4"/>
  <c r="D21" i="4" s="1"/>
  <c r="C3" i="4"/>
  <c r="E214" i="6" s="1"/>
  <c r="F213" i="6" s="1"/>
  <c r="B3" i="4"/>
  <c r="C23" i="3"/>
  <c r="K19" i="3" s="1"/>
  <c r="K21" i="3"/>
  <c r="I19" i="3"/>
  <c r="G19" i="3"/>
  <c r="F19" i="3"/>
  <c r="E19" i="3"/>
  <c r="D19" i="3"/>
  <c r="C19" i="3"/>
  <c r="E299" i="5" s="1"/>
  <c r="F298" i="5" s="1"/>
  <c r="B19" i="3"/>
  <c r="D18" i="3"/>
  <c r="C18" i="3"/>
  <c r="C290" i="5" s="1"/>
  <c r="B18" i="3"/>
  <c r="D17" i="3"/>
  <c r="C17" i="3"/>
  <c r="C282" i="5" s="1"/>
  <c r="B17" i="3"/>
  <c r="D16" i="3"/>
  <c r="C16" i="3"/>
  <c r="C278" i="5" s="1"/>
  <c r="B16" i="3"/>
  <c r="D15" i="3"/>
  <c r="C15" i="3"/>
  <c r="C274" i="5" s="1"/>
  <c r="B15" i="3"/>
  <c r="D14" i="3"/>
  <c r="C14" i="3"/>
  <c r="E266" i="5" s="1"/>
  <c r="B14" i="3"/>
  <c r="D13" i="3"/>
  <c r="C13" i="3"/>
  <c r="E262" i="5" s="1"/>
  <c r="F261" i="5" s="1"/>
  <c r="I261" i="5" s="1"/>
  <c r="I263" i="5" s="1"/>
  <c r="B13" i="3"/>
  <c r="D12" i="3"/>
  <c r="C12" i="3"/>
  <c r="E258" i="5" s="1"/>
  <c r="B12" i="3"/>
  <c r="D11" i="3"/>
  <c r="C11" i="3"/>
  <c r="E254" i="5" s="1"/>
  <c r="F253" i="5" s="1"/>
  <c r="I253" i="5" s="1"/>
  <c r="B11" i="3"/>
  <c r="D10" i="3"/>
  <c r="C10" i="3"/>
  <c r="E10" i="3" s="1"/>
  <c r="B10" i="3"/>
  <c r="D9" i="3"/>
  <c r="C9" i="3"/>
  <c r="E246" i="5" s="1"/>
  <c r="F245" i="5" s="1"/>
  <c r="B9" i="3"/>
  <c r="D8" i="3"/>
  <c r="C8" i="3"/>
  <c r="E234" i="5" s="1"/>
  <c r="F233" i="5" s="1"/>
  <c r="I233" i="5" s="1"/>
  <c r="B8" i="3"/>
  <c r="D7" i="3"/>
  <c r="E7" i="3" s="1"/>
  <c r="C7" i="3"/>
  <c r="E230" i="5" s="1"/>
  <c r="F229" i="5" s="1"/>
  <c r="I229" i="5" s="1"/>
  <c r="I231" i="5" s="1"/>
  <c r="F311" i="5" s="1"/>
  <c r="I311" i="5" s="1"/>
  <c r="B7" i="3"/>
  <c r="D6" i="3"/>
  <c r="C6" i="3"/>
  <c r="E226" i="5" s="1"/>
  <c r="B6" i="3"/>
  <c r="D5" i="3"/>
  <c r="C5" i="3"/>
  <c r="E222" i="5" s="1"/>
  <c r="B5" i="3"/>
  <c r="D4" i="3"/>
  <c r="C4" i="3"/>
  <c r="E218" i="5" s="1"/>
  <c r="B4" i="3"/>
  <c r="D3" i="3"/>
  <c r="C3" i="3"/>
  <c r="E214" i="5" s="1"/>
  <c r="F213" i="5" s="1"/>
  <c r="B3" i="3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G93" i="2"/>
  <c r="E93" i="2"/>
  <c r="G92" i="2"/>
  <c r="E92" i="2"/>
  <c r="E91" i="2"/>
  <c r="G91" i="2" s="1"/>
  <c r="E90" i="2"/>
  <c r="G90" i="2" s="1"/>
  <c r="G89" i="2"/>
  <c r="E89" i="2"/>
  <c r="G88" i="2"/>
  <c r="E88" i="2"/>
  <c r="E87" i="2"/>
  <c r="G87" i="2" s="1"/>
  <c r="E86" i="2"/>
  <c r="G86" i="2" s="1"/>
  <c r="G85" i="2"/>
  <c r="E85" i="2"/>
  <c r="G84" i="2"/>
  <c r="E84" i="2"/>
  <c r="E83" i="2"/>
  <c r="G83" i="2" s="1"/>
  <c r="E82" i="2"/>
  <c r="G82" i="2" s="1"/>
  <c r="G81" i="2"/>
  <c r="E81" i="2"/>
  <c r="G80" i="2"/>
  <c r="E80" i="2"/>
  <c r="E79" i="2"/>
  <c r="G79" i="2" s="1"/>
  <c r="E78" i="2"/>
  <c r="G78" i="2" s="1"/>
  <c r="G73" i="2"/>
  <c r="E73" i="2"/>
  <c r="E72" i="2"/>
  <c r="G72" i="2" s="1"/>
  <c r="E71" i="2"/>
  <c r="G71" i="2" s="1"/>
  <c r="G70" i="2"/>
  <c r="E70" i="2"/>
  <c r="G69" i="2"/>
  <c r="E69" i="2"/>
  <c r="E68" i="2"/>
  <c r="G68" i="2" s="1"/>
  <c r="E67" i="2"/>
  <c r="G67" i="2" s="1"/>
  <c r="G66" i="2"/>
  <c r="E66" i="2"/>
  <c r="G65" i="2"/>
  <c r="E65" i="2"/>
  <c r="E64" i="2"/>
  <c r="G64" i="2" s="1"/>
  <c r="E63" i="2"/>
  <c r="G63" i="2" s="1"/>
  <c r="G62" i="2"/>
  <c r="E62" i="2"/>
  <c r="G61" i="2"/>
  <c r="E61" i="2"/>
  <c r="E60" i="2"/>
  <c r="G60" i="2" s="1"/>
  <c r="E59" i="2"/>
  <c r="G59" i="2" s="1"/>
  <c r="G58" i="2"/>
  <c r="E58" i="2"/>
  <c r="G57" i="2"/>
  <c r="E57" i="2"/>
  <c r="E56" i="2"/>
  <c r="G56" i="2" s="1"/>
  <c r="E55" i="2"/>
  <c r="G55" i="2" s="1"/>
  <c r="G54" i="2"/>
  <c r="E54" i="2"/>
  <c r="G53" i="2"/>
  <c r="E53" i="2"/>
  <c r="E52" i="2"/>
  <c r="G52" i="2" s="1"/>
  <c r="E51" i="2"/>
  <c r="G51" i="2" s="1"/>
  <c r="F46" i="2"/>
  <c r="D46" i="2"/>
  <c r="D45" i="2"/>
  <c r="F45" i="2" s="1"/>
  <c r="D44" i="2"/>
  <c r="F44" i="2" s="1"/>
  <c r="F43" i="2"/>
  <c r="D43" i="2"/>
  <c r="D38" i="2"/>
  <c r="F38" i="2" s="1"/>
  <c r="D37" i="2"/>
  <c r="F37" i="2" s="1"/>
  <c r="F36" i="2"/>
  <c r="D36" i="2"/>
  <c r="F35" i="2"/>
  <c r="D35" i="2"/>
  <c r="D34" i="2"/>
  <c r="F34" i="2" s="1"/>
  <c r="D33" i="2"/>
  <c r="F33" i="2" s="1"/>
  <c r="F32" i="2"/>
  <c r="D32" i="2"/>
  <c r="F31" i="2"/>
  <c r="D31" i="2"/>
  <c r="D30" i="2"/>
  <c r="F30" i="2" s="1"/>
  <c r="D29" i="2"/>
  <c r="F29" i="2" s="1"/>
  <c r="F28" i="2"/>
  <c r="D28" i="2"/>
  <c r="F27" i="2"/>
  <c r="D27" i="2"/>
  <c r="D26" i="2"/>
  <c r="F26" i="2" s="1"/>
  <c r="D25" i="2"/>
  <c r="F25" i="2" s="1"/>
  <c r="F24" i="2"/>
  <c r="D24" i="2"/>
  <c r="F23" i="2"/>
  <c r="D23" i="2"/>
  <c r="D22" i="2"/>
  <c r="F22" i="2" s="1"/>
  <c r="D21" i="2"/>
  <c r="F21" i="2" s="1"/>
  <c r="F20" i="2"/>
  <c r="D20" i="2"/>
  <c r="F19" i="2"/>
  <c r="D19" i="2"/>
  <c r="D18" i="2"/>
  <c r="F18" i="2" s="1"/>
  <c r="D17" i="2"/>
  <c r="F17" i="2" s="1"/>
  <c r="F16" i="2"/>
  <c r="D16" i="2"/>
  <c r="F15" i="2"/>
  <c r="D15" i="2"/>
  <c r="D14" i="2"/>
  <c r="F14" i="2" s="1"/>
  <c r="D13" i="2"/>
  <c r="F13" i="2" s="1"/>
  <c r="F12" i="2"/>
  <c r="D12" i="2"/>
  <c r="F11" i="2"/>
  <c r="D11" i="2"/>
  <c r="D10" i="2"/>
  <c r="F10" i="2" s="1"/>
  <c r="D9" i="2"/>
  <c r="F9" i="2" s="1"/>
  <c r="F8" i="2"/>
  <c r="D8" i="2"/>
  <c r="F7" i="2"/>
  <c r="D7" i="2"/>
  <c r="D6" i="2"/>
  <c r="F6" i="2" s="1"/>
  <c r="C81" i="1"/>
  <c r="D66" i="1"/>
  <c r="E42" i="1"/>
  <c r="B14" i="1"/>
  <c r="J40" i="8" l="1"/>
  <c r="J72" i="8"/>
  <c r="J72" i="7"/>
  <c r="J38" i="7"/>
  <c r="J41" i="7" s="1"/>
  <c r="J63" i="5"/>
  <c r="J63" i="6"/>
  <c r="E113" i="2"/>
  <c r="F47" i="2"/>
  <c r="K11" i="3"/>
  <c r="K15" i="3"/>
  <c r="K5" i="3"/>
  <c r="K13" i="3"/>
  <c r="H19" i="3"/>
  <c r="O19" i="3" s="1"/>
  <c r="H14" i="4"/>
  <c r="O14" i="4" s="1"/>
  <c r="K15" i="4"/>
  <c r="K9" i="3"/>
  <c r="K4" i="3"/>
  <c r="K6" i="3"/>
  <c r="K8" i="3"/>
  <c r="K10" i="3"/>
  <c r="K12" i="3"/>
  <c r="K14" i="3"/>
  <c r="K16" i="3"/>
  <c r="K18" i="3"/>
  <c r="K3" i="4"/>
  <c r="H11" i="4"/>
  <c r="O11" i="4" s="1"/>
  <c r="H12" i="4"/>
  <c r="O12" i="4" s="1"/>
  <c r="K3" i="3"/>
  <c r="K7" i="3"/>
  <c r="K17" i="3"/>
  <c r="J68" i="5"/>
  <c r="J85" i="5" s="1"/>
  <c r="J68" i="6"/>
  <c r="J86" i="6" s="1"/>
  <c r="I192" i="6"/>
  <c r="I164" i="7"/>
  <c r="I164" i="8"/>
  <c r="J76" i="7"/>
  <c r="J76" i="8"/>
  <c r="J84" i="8" s="1"/>
  <c r="J92" i="8" s="1"/>
  <c r="J103" i="6"/>
  <c r="J112" i="6" s="1"/>
  <c r="J120" i="6" s="1"/>
  <c r="E9" i="4"/>
  <c r="E16" i="3"/>
  <c r="F16" i="3" s="1"/>
  <c r="I16" i="3" s="1"/>
  <c r="E9" i="3"/>
  <c r="E11" i="3"/>
  <c r="E4" i="3"/>
  <c r="F4" i="3" s="1"/>
  <c r="I4" i="3" s="1"/>
  <c r="E15" i="3"/>
  <c r="E8" i="3"/>
  <c r="F8" i="3" s="1"/>
  <c r="I8" i="3" s="1"/>
  <c r="E250" i="5"/>
  <c r="F249" i="5" s="1"/>
  <c r="E3" i="3"/>
  <c r="F3" i="3" s="1"/>
  <c r="I3" i="3" s="1"/>
  <c r="E17" i="3"/>
  <c r="F17" i="3" s="1"/>
  <c r="I17" i="3" s="1"/>
  <c r="E12" i="3"/>
  <c r="F12" i="3" s="1"/>
  <c r="I12" i="3" s="1"/>
  <c r="E13" i="3"/>
  <c r="E5" i="3"/>
  <c r="F5" i="3" s="1"/>
  <c r="I5" i="3" s="1"/>
  <c r="F11" i="3"/>
  <c r="I11" i="3" s="1"/>
  <c r="G74" i="2"/>
  <c r="F13" i="3"/>
  <c r="I13" i="3" s="1"/>
  <c r="F15" i="3"/>
  <c r="I15" i="3" s="1"/>
  <c r="J90" i="5"/>
  <c r="G94" i="2"/>
  <c r="E114" i="2"/>
  <c r="B124" i="2"/>
  <c r="D124" i="2" s="1"/>
  <c r="F124" i="2" s="1"/>
  <c r="F10" i="3"/>
  <c r="I10" i="3" s="1"/>
  <c r="F9" i="4"/>
  <c r="I9" i="4" s="1"/>
  <c r="F9" i="3"/>
  <c r="I9" i="3" s="1"/>
  <c r="F217" i="5"/>
  <c r="I217" i="5" s="1"/>
  <c r="F225" i="5"/>
  <c r="I225" i="5" s="1"/>
  <c r="J153" i="5"/>
  <c r="J154" i="5" s="1"/>
  <c r="J161" i="5" s="1"/>
  <c r="F39" i="2"/>
  <c r="B118" i="2"/>
  <c r="D118" i="2" s="1"/>
  <c r="F48" i="2"/>
  <c r="F7" i="3"/>
  <c r="I7" i="3" s="1"/>
  <c r="G16" i="4"/>
  <c r="H16" i="4" s="1"/>
  <c r="O16" i="4" s="1"/>
  <c r="G4" i="3"/>
  <c r="H4" i="3" s="1"/>
  <c r="O4" i="3" s="1"/>
  <c r="G12" i="3"/>
  <c r="H12" i="3" s="1"/>
  <c r="O12" i="3" s="1"/>
  <c r="G16" i="3"/>
  <c r="H16" i="3" s="1"/>
  <c r="O16" i="3" s="1"/>
  <c r="D289" i="5"/>
  <c r="H289" i="5" s="1"/>
  <c r="J289" i="5" s="1"/>
  <c r="H290" i="5"/>
  <c r="G6" i="4"/>
  <c r="H6" i="4" s="1"/>
  <c r="O6" i="4" s="1"/>
  <c r="E22" i="4"/>
  <c r="F3" i="4"/>
  <c r="I3" i="4" s="1"/>
  <c r="F15" i="4"/>
  <c r="I15" i="4" s="1"/>
  <c r="D289" i="6"/>
  <c r="H289" i="6" s="1"/>
  <c r="H290" i="6"/>
  <c r="J28" i="5"/>
  <c r="J112" i="5"/>
  <c r="J120" i="5" s="1"/>
  <c r="I318" i="6"/>
  <c r="I329" i="6"/>
  <c r="I330" i="6" s="1"/>
  <c r="H198" i="8"/>
  <c r="E14" i="3"/>
  <c r="D273" i="5"/>
  <c r="H273" i="5" s="1"/>
  <c r="J273" i="5" s="1"/>
  <c r="H274" i="5"/>
  <c r="E18" i="3"/>
  <c r="I309" i="6"/>
  <c r="F237" i="6"/>
  <c r="I237" i="6" s="1"/>
  <c r="J33" i="5"/>
  <c r="H327" i="5" s="1"/>
  <c r="H324" i="5"/>
  <c r="J84" i="7"/>
  <c r="J92" i="7" s="1"/>
  <c r="E6" i="3"/>
  <c r="D20" i="3"/>
  <c r="F4" i="4"/>
  <c r="I4" i="4" s="1"/>
  <c r="F16" i="4"/>
  <c r="I16" i="4" s="1"/>
  <c r="G18" i="4"/>
  <c r="H18" i="4" s="1"/>
  <c r="O18" i="4" s="1"/>
  <c r="F19" i="4"/>
  <c r="I19" i="4" s="1"/>
  <c r="F20" i="4"/>
  <c r="I20" i="4" s="1"/>
  <c r="F221" i="5"/>
  <c r="I221" i="5" s="1"/>
  <c r="I310" i="6"/>
  <c r="J153" i="6"/>
  <c r="J154" i="6" s="1"/>
  <c r="J161" i="6" s="1"/>
  <c r="F257" i="5"/>
  <c r="I257" i="5" s="1"/>
  <c r="D277" i="5"/>
  <c r="H277" i="5" s="1"/>
  <c r="J277" i="5" s="1"/>
  <c r="H278" i="5"/>
  <c r="G17" i="4"/>
  <c r="H17" i="4" s="1"/>
  <c r="O17" i="4" s="1"/>
  <c r="I192" i="5"/>
  <c r="F265" i="5"/>
  <c r="I265" i="5" s="1"/>
  <c r="J44" i="6"/>
  <c r="I321" i="6"/>
  <c r="I322" i="6" s="1"/>
  <c r="J125" i="7"/>
  <c r="J126" i="7" s="1"/>
  <c r="J133" i="7" s="1"/>
  <c r="I311" i="6"/>
  <c r="D281" i="5"/>
  <c r="H281" i="5" s="1"/>
  <c r="J281" i="5" s="1"/>
  <c r="H282" i="5"/>
  <c r="I325" i="6"/>
  <c r="J125" i="8"/>
  <c r="J126" i="8" s="1"/>
  <c r="J133" i="8" s="1"/>
  <c r="J28" i="6"/>
  <c r="H322" i="6" s="1"/>
  <c r="H324" i="6"/>
  <c r="I324" i="6" s="1"/>
  <c r="G14" i="9"/>
  <c r="H314" i="6"/>
  <c r="H338" i="6" s="1"/>
  <c r="J38" i="8"/>
  <c r="J41" i="8" s="1"/>
  <c r="J87" i="6" l="1"/>
  <c r="J91" i="6"/>
  <c r="J201" i="5"/>
  <c r="J128" i="6"/>
  <c r="J129" i="6" s="1"/>
  <c r="J142" i="6"/>
  <c r="J201" i="6"/>
  <c r="J91" i="5"/>
  <c r="J93" i="5" s="1"/>
  <c r="J119" i="5" s="1"/>
  <c r="J121" i="5" s="1"/>
  <c r="J92" i="6"/>
  <c r="J88" i="5"/>
  <c r="J89" i="6"/>
  <c r="J76" i="5"/>
  <c r="J86" i="5"/>
  <c r="J142" i="5"/>
  <c r="J128" i="5"/>
  <c r="J129" i="5" s="1"/>
  <c r="J85" i="6"/>
  <c r="J75" i="6"/>
  <c r="J77" i="6" s="1"/>
  <c r="J79" i="6" s="1"/>
  <c r="J118" i="6" s="1"/>
  <c r="J90" i="6"/>
  <c r="J92" i="5"/>
  <c r="J89" i="5"/>
  <c r="J88" i="6"/>
  <c r="J87" i="5"/>
  <c r="J76" i="6"/>
  <c r="J75" i="5"/>
  <c r="J77" i="5" s="1"/>
  <c r="J79" i="5" s="1"/>
  <c r="J118" i="5" s="1"/>
  <c r="G8" i="3"/>
  <c r="H8" i="3" s="1"/>
  <c r="O8" i="3" s="1"/>
  <c r="G15" i="3"/>
  <c r="H15" i="3" s="1"/>
  <c r="O15" i="3" s="1"/>
  <c r="E21" i="3"/>
  <c r="F21" i="3"/>
  <c r="J138" i="8"/>
  <c r="J142" i="8" s="1"/>
  <c r="J177" i="8" s="1"/>
  <c r="J166" i="6"/>
  <c r="J166" i="5"/>
  <c r="J138" i="7"/>
  <c r="J142" i="7" s="1"/>
  <c r="J177" i="7" s="1"/>
  <c r="B122" i="2"/>
  <c r="D122" i="2" s="1"/>
  <c r="G95" i="2"/>
  <c r="G13" i="3"/>
  <c r="H13" i="3" s="1"/>
  <c r="O13" i="3" s="1"/>
  <c r="B119" i="2"/>
  <c r="D119" i="2" s="1"/>
  <c r="G75" i="2"/>
  <c r="G9" i="4"/>
  <c r="H9" i="4" s="1"/>
  <c r="O9" i="4" s="1"/>
  <c r="G19" i="4"/>
  <c r="H19" i="4" s="1"/>
  <c r="O19" i="4" s="1"/>
  <c r="G7" i="3"/>
  <c r="H7" i="3" s="1"/>
  <c r="O7" i="3" s="1"/>
  <c r="J64" i="7"/>
  <c r="J59" i="7"/>
  <c r="J63" i="7"/>
  <c r="J58" i="7"/>
  <c r="J62" i="7"/>
  <c r="J173" i="7"/>
  <c r="J61" i="7"/>
  <c r="J60" i="7"/>
  <c r="J49" i="7"/>
  <c r="J48" i="7"/>
  <c r="J50" i="7" s="1"/>
  <c r="J52" i="7" s="1"/>
  <c r="J90" i="7" s="1"/>
  <c r="J114" i="7"/>
  <c r="J100" i="7"/>
  <c r="J101" i="7" s="1"/>
  <c r="J65" i="7"/>
  <c r="J44" i="5"/>
  <c r="H322" i="5"/>
  <c r="H338" i="5" s="1"/>
  <c r="G17" i="3"/>
  <c r="H17" i="3" s="1"/>
  <c r="O17" i="3" s="1"/>
  <c r="G9" i="3"/>
  <c r="H9" i="3" s="1"/>
  <c r="O9" i="3" s="1"/>
  <c r="F14" i="3"/>
  <c r="I14" i="3" s="1"/>
  <c r="J48" i="8"/>
  <c r="J114" i="8"/>
  <c r="J100" i="8"/>
  <c r="J101" i="8" s="1"/>
  <c r="J65" i="8"/>
  <c r="J64" i="8"/>
  <c r="J59" i="8"/>
  <c r="J63" i="8"/>
  <c r="J58" i="8"/>
  <c r="J62" i="8"/>
  <c r="J61" i="8"/>
  <c r="J173" i="8"/>
  <c r="J60" i="8"/>
  <c r="J49" i="8"/>
  <c r="G3" i="3"/>
  <c r="H3" i="3" s="1"/>
  <c r="O3" i="3" s="1"/>
  <c r="F6" i="3"/>
  <c r="I6" i="3" s="1"/>
  <c r="G5" i="3"/>
  <c r="H5" i="3" s="1"/>
  <c r="O5" i="3" s="1"/>
  <c r="G15" i="4"/>
  <c r="H15" i="4" s="1"/>
  <c r="O15" i="4" s="1"/>
  <c r="G11" i="3"/>
  <c r="H11" i="3" s="1"/>
  <c r="O11" i="3" s="1"/>
  <c r="I327" i="6"/>
  <c r="G4" i="4"/>
  <c r="H4" i="4" s="1"/>
  <c r="O4" i="4" s="1"/>
  <c r="G10" i="3"/>
  <c r="H10" i="3" s="1"/>
  <c r="O10" i="3" s="1"/>
  <c r="G3" i="4"/>
  <c r="H3" i="4" s="1"/>
  <c r="O3" i="4" s="1"/>
  <c r="F18" i="3"/>
  <c r="I18" i="3" s="1"/>
  <c r="F22" i="4"/>
  <c r="G20" i="4"/>
  <c r="H20" i="4" s="1"/>
  <c r="O20" i="4" s="1"/>
  <c r="F40" i="2"/>
  <c r="B117" i="2"/>
  <c r="J125" i="5" l="1"/>
  <c r="J93" i="6"/>
  <c r="J119" i="6" s="1"/>
  <c r="J121" i="6" s="1"/>
  <c r="J102" i="8"/>
  <c r="J130" i="5"/>
  <c r="J135" i="5"/>
  <c r="J143" i="5" s="1"/>
  <c r="J135" i="6"/>
  <c r="J127" i="5"/>
  <c r="J125" i="6"/>
  <c r="J126" i="6" s="1"/>
  <c r="J130" i="6"/>
  <c r="J127" i="6"/>
  <c r="J66" i="8"/>
  <c r="J91" i="8" s="1"/>
  <c r="G18" i="3"/>
  <c r="H18" i="3" s="1"/>
  <c r="O18" i="3" s="1"/>
  <c r="J202" i="5"/>
  <c r="J202" i="6"/>
  <c r="B120" i="2"/>
  <c r="D117" i="2"/>
  <c r="J107" i="7"/>
  <c r="J141" i="5"/>
  <c r="J140" i="5"/>
  <c r="J66" i="7"/>
  <c r="J91" i="7" s="1"/>
  <c r="J93" i="7" s="1"/>
  <c r="G6" i="3"/>
  <c r="H6" i="3" s="1"/>
  <c r="O6" i="3" s="1"/>
  <c r="J50" i="8"/>
  <c r="J52" i="8" s="1"/>
  <c r="J90" i="8" s="1"/>
  <c r="J126" i="5"/>
  <c r="J99" i="7"/>
  <c r="J97" i="7"/>
  <c r="I21" i="3"/>
  <c r="J97" i="8"/>
  <c r="L24" i="4"/>
  <c r="D12" i="10" s="1"/>
  <c r="I22" i="4"/>
  <c r="G14" i="3"/>
  <c r="H14" i="3" s="1"/>
  <c r="O14" i="3" s="1"/>
  <c r="J102" i="7"/>
  <c r="G22" i="4"/>
  <c r="H22" i="4" s="1"/>
  <c r="O22" i="4" s="1"/>
  <c r="J107" i="8"/>
  <c r="J99" i="8"/>
  <c r="G21" i="3"/>
  <c r="H21" i="3" s="1"/>
  <c r="O21" i="3" s="1"/>
  <c r="J139" i="5" l="1"/>
  <c r="J131" i="5"/>
  <c r="J203" i="5" s="1"/>
  <c r="J93" i="8"/>
  <c r="J131" i="6"/>
  <c r="J203" i="6" s="1"/>
  <c r="J140" i="6"/>
  <c r="J139" i="6"/>
  <c r="J141" i="6"/>
  <c r="J143" i="6"/>
  <c r="L23" i="3"/>
  <c r="D11" i="10"/>
  <c r="D16" i="10" s="1"/>
  <c r="H128" i="2"/>
  <c r="F117" i="2" s="1"/>
  <c r="J112" i="7"/>
  <c r="J111" i="7"/>
  <c r="J115" i="7"/>
  <c r="J113" i="7"/>
  <c r="J144" i="5"/>
  <c r="J146" i="5" s="1"/>
  <c r="J160" i="5" s="1"/>
  <c r="J162" i="5" s="1"/>
  <c r="J204" i="5" s="1"/>
  <c r="J98" i="7"/>
  <c r="J103" i="7" s="1"/>
  <c r="J174" i="7"/>
  <c r="J174" i="8"/>
  <c r="J115" i="8"/>
  <c r="J113" i="8"/>
  <c r="J112" i="8"/>
  <c r="J111" i="8"/>
  <c r="J116" i="8" s="1"/>
  <c r="J118" i="8" s="1"/>
  <c r="J132" i="8" s="1"/>
  <c r="J134" i="8" s="1"/>
  <c r="J176" i="8" s="1"/>
  <c r="J98" i="8"/>
  <c r="J103" i="8" s="1"/>
  <c r="J175" i="8" s="1"/>
  <c r="B126" i="2"/>
  <c r="D126" i="2" s="1"/>
  <c r="D120" i="2"/>
  <c r="J116" i="7" l="1"/>
  <c r="J144" i="6"/>
  <c r="J146" i="6" s="1"/>
  <c r="J160" i="6" s="1"/>
  <c r="J162" i="6" s="1"/>
  <c r="J204" i="6" s="1"/>
  <c r="J175" i="7"/>
  <c r="J178" i="8"/>
  <c r="J117" i="7"/>
  <c r="J118" i="7" s="1"/>
  <c r="J132" i="7" s="1"/>
  <c r="J134" i="7" s="1"/>
  <c r="J148" i="8"/>
  <c r="J149" i="8" s="1"/>
  <c r="J150" i="8" s="1"/>
  <c r="J151" i="8" s="1"/>
  <c r="J152" i="8" s="1"/>
  <c r="F118" i="2"/>
  <c r="F119" i="2"/>
  <c r="F122" i="2"/>
  <c r="F120" i="2" l="1"/>
  <c r="J167" i="6" s="1"/>
  <c r="J161" i="8"/>
  <c r="J156" i="8"/>
  <c r="J155" i="8"/>
  <c r="J176" i="7"/>
  <c r="J178" i="7" s="1"/>
  <c r="J148" i="7"/>
  <c r="J149" i="7" s="1"/>
  <c r="J168" i="6"/>
  <c r="J168" i="5"/>
  <c r="J162" i="8" l="1"/>
  <c r="J179" i="8" s="1"/>
  <c r="J180" i="8" s="1"/>
  <c r="I200" i="8" s="1"/>
  <c r="F126" i="2"/>
  <c r="J167" i="5"/>
  <c r="J170" i="5" s="1"/>
  <c r="J205" i="5" s="1"/>
  <c r="J206" i="5" s="1"/>
  <c r="J164" i="8"/>
  <c r="E13" i="10"/>
  <c r="I204" i="8"/>
  <c r="G13" i="10" s="1"/>
  <c r="J176" i="5"/>
  <c r="J177" i="5" s="1"/>
  <c r="J170" i="6"/>
  <c r="J150" i="7"/>
  <c r="J151" i="7" s="1"/>
  <c r="J178" i="5" l="1"/>
  <c r="J179" i="5" s="1"/>
  <c r="J180" i="5" s="1"/>
  <c r="J152" i="7"/>
  <c r="J205" i="6"/>
  <c r="J206" i="6" s="1"/>
  <c r="J176" i="6"/>
  <c r="J177" i="6" s="1"/>
  <c r="J184" i="5" l="1"/>
  <c r="J189" i="5"/>
  <c r="J183" i="5"/>
  <c r="J156" i="7"/>
  <c r="J155" i="7"/>
  <c r="J161" i="7"/>
  <c r="J178" i="6"/>
  <c r="J179" i="6" s="1"/>
  <c r="J180" i="6" s="1"/>
  <c r="J184" i="6" l="1"/>
  <c r="J189" i="6"/>
  <c r="J183" i="6"/>
  <c r="J192" i="5"/>
  <c r="J190" i="5"/>
  <c r="J207" i="5" s="1"/>
  <c r="J208" i="5" s="1"/>
  <c r="J164" i="7"/>
  <c r="J162" i="7"/>
  <c r="J179" i="7" s="1"/>
  <c r="J180" i="7" s="1"/>
  <c r="I200" i="7" s="1"/>
  <c r="I204" i="7" s="1"/>
  <c r="I208" i="7" l="1"/>
  <c r="G14" i="10" s="1"/>
  <c r="E14" i="10"/>
  <c r="G246" i="5"/>
  <c r="I246" i="5" s="1"/>
  <c r="G262" i="5"/>
  <c r="G222" i="5"/>
  <c r="I222" i="5" s="1"/>
  <c r="I223" i="5" s="1"/>
  <c r="F309" i="5" s="1"/>
  <c r="I309" i="5" s="1"/>
  <c r="G250" i="5"/>
  <c r="I250" i="5" s="1"/>
  <c r="G226" i="5"/>
  <c r="I226" i="5" s="1"/>
  <c r="I227" i="5" s="1"/>
  <c r="F310" i="5" s="1"/>
  <c r="I310" i="5" s="1"/>
  <c r="G254" i="5"/>
  <c r="I254" i="5" s="1"/>
  <c r="G230" i="5"/>
  <c r="G214" i="5"/>
  <c r="I214" i="5" s="1"/>
  <c r="I215" i="5" s="1"/>
  <c r="F307" i="5" s="1"/>
  <c r="I307" i="5" s="1"/>
  <c r="I290" i="5"/>
  <c r="J290" i="5" s="1"/>
  <c r="G266" i="5"/>
  <c r="I266" i="5" s="1"/>
  <c r="I282" i="5"/>
  <c r="J282" i="5" s="1"/>
  <c r="I274" i="5"/>
  <c r="J274" i="5" s="1"/>
  <c r="G258" i="5"/>
  <c r="I258" i="5" s="1"/>
  <c r="G234" i="5"/>
  <c r="I234" i="5" s="1"/>
  <c r="I235" i="5" s="1"/>
  <c r="F312" i="5" s="1"/>
  <c r="I312" i="5" s="1"/>
  <c r="G218" i="5"/>
  <c r="I218" i="5" s="1"/>
  <c r="I219" i="5" s="1"/>
  <c r="F308" i="5" s="1"/>
  <c r="I308" i="5" s="1"/>
  <c r="I278" i="5"/>
  <c r="J278" i="5" s="1"/>
  <c r="J192" i="6"/>
  <c r="J190" i="6"/>
  <c r="J207" i="6" s="1"/>
  <c r="J208" i="6" s="1"/>
  <c r="F318" i="5" l="1"/>
  <c r="I318" i="5" s="1"/>
  <c r="I255" i="5"/>
  <c r="F319" i="5"/>
  <c r="I319" i="5" s="1"/>
  <c r="I259" i="5"/>
  <c r="F324" i="5"/>
  <c r="I324" i="5" s="1"/>
  <c r="I327" i="5" s="1"/>
  <c r="J275" i="5"/>
  <c r="I251" i="5"/>
  <c r="F317" i="5"/>
  <c r="I317" i="5" s="1"/>
  <c r="F326" i="5"/>
  <c r="I326" i="5" s="1"/>
  <c r="J283" i="5"/>
  <c r="I278" i="6"/>
  <c r="G266" i="6"/>
  <c r="G234" i="6"/>
  <c r="G226" i="6"/>
  <c r="G258" i="6"/>
  <c r="G218" i="6"/>
  <c r="G250" i="6"/>
  <c r="I282" i="6"/>
  <c r="I274" i="6"/>
  <c r="G238" i="6"/>
  <c r="I238" i="6" s="1"/>
  <c r="I239" i="6" s="1"/>
  <c r="F313" i="6" s="1"/>
  <c r="I313" i="6" s="1"/>
  <c r="I314" i="6" s="1"/>
  <c r="I338" i="6" s="1"/>
  <c r="G230" i="6"/>
  <c r="G222" i="6"/>
  <c r="G262" i="6"/>
  <c r="I290" i="6"/>
  <c r="G254" i="6"/>
  <c r="G214" i="6"/>
  <c r="G246" i="6"/>
  <c r="F321" i="5"/>
  <c r="I321" i="5" s="1"/>
  <c r="I267" i="5"/>
  <c r="F329" i="5"/>
  <c r="I329" i="5" s="1"/>
  <c r="I330" i="5" s="1"/>
  <c r="J291" i="5"/>
  <c r="I247" i="5"/>
  <c r="F316" i="5"/>
  <c r="I316" i="5" s="1"/>
  <c r="F325" i="5"/>
  <c r="I325" i="5" s="1"/>
  <c r="J279" i="5"/>
  <c r="I314" i="5"/>
  <c r="I344" i="6" l="1"/>
  <c r="G12" i="10" s="1"/>
  <c r="I340" i="6"/>
  <c r="E12" i="10" s="1"/>
  <c r="I322" i="5"/>
  <c r="I338" i="5" s="1"/>
  <c r="I344" i="5" l="1"/>
  <c r="G11" i="10" s="1"/>
  <c r="G16" i="10" s="1"/>
  <c r="I340" i="5"/>
  <c r="E11" i="10" s="1"/>
  <c r="E16" i="10" s="1"/>
</calcChain>
</file>

<file path=xl/sharedStrings.xml><?xml version="1.0" encoding="utf-8"?>
<sst xmlns="http://schemas.openxmlformats.org/spreadsheetml/2006/main" count="2150" uniqueCount="776">
  <si>
    <t>Ministério da Educação</t>
  </si>
  <si>
    <t>Secretaria de Educação Tecnológica</t>
  </si>
  <si>
    <t>Instituto Federal de Educação, Ciência e Tecnologia do Rio Grande do Sul - IFRS</t>
  </si>
  <si>
    <t>Campus Porto Alegre</t>
  </si>
  <si>
    <t>DADOS DA LICITAÇÃO</t>
  </si>
  <si>
    <t>Descrição do serviço:</t>
  </si>
  <si>
    <t>Serviços de Limpeza e Conservação, 44h/semanal, de segunda a sábado</t>
  </si>
  <si>
    <t>Processo:</t>
  </si>
  <si>
    <t>23368.000267/2021-76</t>
  </si>
  <si>
    <t>Licitação:</t>
  </si>
  <si>
    <t>17/2021</t>
  </si>
  <si>
    <t>Município/UF da prestação do serviço:</t>
  </si>
  <si>
    <t>Porto Alegre/ RS</t>
  </si>
  <si>
    <t>Dia/Hora:</t>
  </si>
  <si>
    <t>Razão Social:</t>
  </si>
  <si>
    <t>CNPJ:</t>
  </si>
  <si>
    <t>Responsável pela Empresa:</t>
  </si>
  <si>
    <t>CPF do Responsável:</t>
  </si>
  <si>
    <t>Cargo ou Função:</t>
  </si>
  <si>
    <t>PRODUTIVIDADES</t>
  </si>
  <si>
    <t>POSTOS SEM BANHEIRO. INSALUBRIDADE 20%</t>
  </si>
  <si>
    <t>TIPO DE ÁREA</t>
  </si>
  <si>
    <t>TIPO DE PISO</t>
  </si>
  <si>
    <r>
      <rPr>
        <b/>
        <sz val="10"/>
        <color theme="1"/>
        <rFont val="Arial"/>
      </rPr>
      <t>PRODUTIVIDADE</t>
    </r>
    <r>
      <rPr>
        <sz val="10"/>
        <color theme="1"/>
        <rFont val="Arial"/>
      </rPr>
      <t xml:space="preserve">                        (m² / serv x mês)     Cfe jornada de trab</t>
    </r>
  </si>
  <si>
    <r>
      <rPr>
        <b/>
        <sz val="10"/>
        <color theme="1"/>
        <rFont val="Arial"/>
      </rPr>
      <t>ÁREA</t>
    </r>
    <r>
      <rPr>
        <sz val="10"/>
        <color theme="1"/>
        <rFont val="Arial"/>
      </rPr>
      <t xml:space="preserve"> (m²)                         a ser contratada</t>
    </r>
  </si>
  <si>
    <t>ÁREAS INTERNAS</t>
  </si>
  <si>
    <t>pisos acarpetados</t>
  </si>
  <si>
    <t>pisos frios</t>
  </si>
  <si>
    <t>laboratórios</t>
  </si>
  <si>
    <t>pisos vinílicos</t>
  </si>
  <si>
    <t>banheiros</t>
  </si>
  <si>
    <t>áreas com espaços livres - saguão, hall e salão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</si>
  <si>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</si>
  <si>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</si>
  <si>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</si>
  <si>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</si>
  <si>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</si>
  <si>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</si>
  <si>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</si>
  <si>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</si>
  <si>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sz val="10"/>
        <color theme="1"/>
        <rFont val="Arial"/>
      </rPr>
      <t xml:space="preserve">face externa </t>
    </r>
    <r>
      <rPr>
        <b/>
        <sz val="10"/>
        <color rgb="FFFF0000"/>
        <rFont val="Arial"/>
      </rPr>
      <t>com</t>
    </r>
    <r>
      <rPr>
        <sz val="10"/>
        <color theme="1"/>
        <rFont val="Arial"/>
      </rPr>
      <t xml:space="preserve"> exposição a situação de risco</t>
    </r>
  </si>
  <si>
    <r>
      <rPr>
        <sz val="10"/>
        <color theme="1"/>
        <rFont val="Arial"/>
      </rPr>
      <t xml:space="preserve">face externa </t>
    </r>
    <r>
      <rPr>
        <b/>
        <sz val="10"/>
        <color rgb="FFFF0000"/>
        <rFont val="Arial"/>
      </rPr>
      <t>sem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</si>
  <si>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</si>
  <si>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</si>
  <si>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</si>
  <si>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</si>
  <si>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</si>
  <si>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POSTOS COM BANHEIRO. INSALUBRIDADE 40%</t>
  </si>
  <si>
    <r>
      <rPr>
        <b/>
        <sz val="10"/>
        <color theme="1"/>
        <rFont val="Arial"/>
      </rPr>
      <t>PRODUTIVIDADE</t>
    </r>
    <r>
      <rPr>
        <sz val="10"/>
        <color theme="1"/>
        <rFont val="Arial"/>
      </rPr>
      <t xml:space="preserve">                        (m² / serv x mês)     Cfe jornada de trab</t>
    </r>
  </si>
  <si>
    <r>
      <rPr>
        <b/>
        <sz val="10"/>
        <color theme="1"/>
        <rFont val="Arial"/>
      </rPr>
      <t>ÁREA</t>
    </r>
    <r>
      <rPr>
        <sz val="10"/>
        <color theme="1"/>
        <rFont val="Arial"/>
      </rPr>
      <t xml:space="preserve"> (m²)                         a ser contratada</t>
    </r>
  </si>
  <si>
    <t>almoxarifados/ galpões</t>
  </si>
  <si>
    <t>oficinas</t>
  </si>
  <si>
    <r>
      <rPr>
        <sz val="10"/>
        <color theme="1"/>
        <rFont val="Arial"/>
      </rPr>
      <t xml:space="preserve">face externa </t>
    </r>
    <r>
      <rPr>
        <b/>
        <sz val="10"/>
        <color rgb="FFFF0000"/>
        <rFont val="Arial"/>
      </rPr>
      <t>com</t>
    </r>
    <r>
      <rPr>
        <sz val="10"/>
        <color theme="1"/>
        <rFont val="Arial"/>
      </rPr>
      <t xml:space="preserve"> exposição a situação de risco</t>
    </r>
  </si>
  <si>
    <r>
      <rPr>
        <sz val="10"/>
        <color theme="1"/>
        <rFont val="Arial"/>
      </rPr>
      <t xml:space="preserve">face externa </t>
    </r>
    <r>
      <rPr>
        <b/>
        <sz val="10"/>
        <color rgb="FFFF0000"/>
        <rFont val="Arial"/>
      </rPr>
      <t>sem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exposição a situação de risco</t>
    </r>
  </si>
  <si>
    <r>
      <rPr>
        <b/>
        <u/>
        <sz val="10"/>
        <color theme="1"/>
        <rFont val="Arial"/>
      </rPr>
      <t>NOTA</t>
    </r>
    <r>
      <rPr>
        <sz val="10"/>
        <color theme="1"/>
        <rFont val="Arial"/>
      </rPr>
      <t>: As Produtividades acima são as máximas divulgadas no caderno de encargos do MPOG. Caso o licitante apresente produtividade superior, deverá comprovar, de forma inequívoca e documental, a sua produtividade e a sua capacidade de execução do serviço.</t>
    </r>
  </si>
  <si>
    <t>REGIME DE TRIBUTAÇÃO DA EMPRESA</t>
  </si>
  <si>
    <t>Lucro Presumido</t>
  </si>
  <si>
    <t>SIMPLES NACIONAL</t>
  </si>
  <si>
    <t>INFORMAÇÕES DA CCT</t>
  </si>
  <si>
    <t>Dados/registro CCT</t>
  </si>
  <si>
    <t>RS 000051/2021</t>
  </si>
  <si>
    <t>Data base</t>
  </si>
  <si>
    <t>Salário base da categoria (220 h)</t>
  </si>
  <si>
    <t>* CBO 5143. Serv de limpeza</t>
  </si>
  <si>
    <t>* CBO 5143. Limpador Alpinista</t>
  </si>
  <si>
    <t xml:space="preserve">* CBO 5143. Aux. Serviços Gerais </t>
  </si>
  <si>
    <t>Módulo 1: REMUNERAÇÃO</t>
  </si>
  <si>
    <t>Jornada DIÁRIA contratada (h)</t>
  </si>
  <si>
    <t>Jornada SEMANAL contratada (h)</t>
  </si>
  <si>
    <t>MÓDULO 2: ENCARGOS E BENEFÍCIOS</t>
  </si>
  <si>
    <t>RAT</t>
  </si>
  <si>
    <t>(Optante SIMPLES NACIONAL)</t>
  </si>
  <si>
    <t>FAP</t>
  </si>
  <si>
    <t>(Comprovação será efetivada na aceitação da proposta)</t>
  </si>
  <si>
    <t>Auxílio alimentação/dia</t>
  </si>
  <si>
    <t>Desconto do empregado</t>
  </si>
  <si>
    <t>Qtd dias/mês recebimento aux. alim</t>
  </si>
  <si>
    <t>Valor unit. da passagem</t>
  </si>
  <si>
    <t>Quantid. passagens/dia</t>
  </si>
  <si>
    <t>Qtd dias/mês receb. aux. transp</t>
  </si>
  <si>
    <t>PBF (Plano Benef. Social Fam)</t>
  </si>
  <si>
    <t>MÓDULO 6: CUSTOS INDIRETOS, LUCRO E TRIBUTOS</t>
  </si>
  <si>
    <t>Empregado</t>
  </si>
  <si>
    <t>Insalub. 20%</t>
  </si>
  <si>
    <t>Insalub. 40%</t>
  </si>
  <si>
    <t>Custos indiretos</t>
  </si>
  <si>
    <t>Lucro</t>
  </si>
  <si>
    <t>ISSQN</t>
  </si>
  <si>
    <t>PIS</t>
  </si>
  <si>
    <t>COFINS</t>
  </si>
  <si>
    <t>INSUMOS DIVERSOS</t>
  </si>
  <si>
    <t>INFORMAR O TOTAL NECESSÁRIO. ÁREAS COM E SEM BANHEIRO</t>
  </si>
  <si>
    <t>MATERIAIS DE LIMPEZA - SANEANTES DOMISSANITÁRIOS
Disponibilidade mensal</t>
  </si>
  <si>
    <t>Unidade</t>
  </si>
  <si>
    <t>Quantidade Mensal</t>
  </si>
  <si>
    <t>Quantidade Anual</t>
  </si>
  <si>
    <t>Valor Unitário</t>
  </si>
  <si>
    <t>Custo Anual</t>
  </si>
  <si>
    <t>Álcool líquido 70º. Embalagem de 1 litro.</t>
  </si>
  <si>
    <t>litro</t>
  </si>
  <si>
    <t>Álcool em gel 70º. Emabalagem de 5 litros.</t>
  </si>
  <si>
    <t>galão</t>
  </si>
  <si>
    <t>Álcool líquido 46º. Embalagem de 1 litro.</t>
  </si>
  <si>
    <t>Álcool líquido 92º. Embalagem de 1 litro.</t>
  </si>
  <si>
    <t>Hipoclorito de sódio/ Água sanitária. Sem Perfume. Bombona 5 litros</t>
  </si>
  <si>
    <t>Cera líquida incolor. Bombona de 5 litros.</t>
  </si>
  <si>
    <t>Removedor de cera. Bombona 5 litros.</t>
  </si>
  <si>
    <t>Lustra móveis. Embalagem 500 ml.</t>
  </si>
  <si>
    <t>500 ml</t>
  </si>
  <si>
    <t>Desinfetante líquido aromatizado. Bombona de 5 litros.</t>
  </si>
  <si>
    <t>Detergente líquido neutro. Embalagem 500 ml.</t>
  </si>
  <si>
    <t>Detergente multiuso a ser usado em fórmicas, paredes e divisórias. Bombona de 5 litros.</t>
  </si>
  <si>
    <t>Detergente líquido não espumante para máquina de lavar piso. Bombona de 5 litros.</t>
  </si>
  <si>
    <t>Saponáceo líquido. Embalagem de 500 ml.</t>
  </si>
  <si>
    <t>Esponja dupla face para limpeza. Cores diversas.</t>
  </si>
  <si>
    <t>unidade</t>
  </si>
  <si>
    <t>Fibra de limpeza de uso geral (fribaço). Pacote com 5 unidades.</t>
  </si>
  <si>
    <t>pacote 5 unidades</t>
  </si>
  <si>
    <t>Flanela para limpeza de algodão. Cores diversas.</t>
  </si>
  <si>
    <t xml:space="preserve">Pano de limpeza multiuso com agente bactericida. Bobina de 300 m. Cores diversas. </t>
  </si>
  <si>
    <t>Saco alvejado para limpeza – tamanho 50cmx70cm liso.</t>
  </si>
  <si>
    <t>Refil mop algodão compatível com o cabo.</t>
  </si>
  <si>
    <t>Limpa vidros. Frasco de 500 ml.</t>
  </si>
  <si>
    <t>Odorizador de ambiente. Frasco de 360 ml.</t>
  </si>
  <si>
    <t>360 ml</t>
  </si>
  <si>
    <t>Sabão líquido, embalagem de 5 litros, padrão de qualidade OMO.</t>
  </si>
  <si>
    <t>Sabonete líquido antisséptico de uso exclusivo em cozinhas industriais e refeitórios conforme norma da ANVISA. PH neutro sem perfume. Bombona 5 liltros.</t>
  </si>
  <si>
    <t>Luva para procedimento não cirúrgico, material látex, natural, integro e uniforme. Características adicionais: lubrificada com pó bioabsorvivel, descartável, apresentação atóxica, tipo ambidestra. Tamanhos diversos. Caixa 100 unidades.</t>
  </si>
  <si>
    <t>caixa</t>
  </si>
  <si>
    <t>Fósforo, caixa com 300 unidades.</t>
  </si>
  <si>
    <t>Touca sanfonada descartável, com elástico duplo. Caixa com 100 unidades.</t>
  </si>
  <si>
    <t>Saco para lixo - 100 litros - Azul - pacote com 100 unidades</t>
  </si>
  <si>
    <t>pacote</t>
  </si>
  <si>
    <t>Saco para lixo -100 litros - Preto - pacote com 100 unidades</t>
  </si>
  <si>
    <t>Saco para lixo - 20 litros - Azul - pacote com 100 unidades</t>
  </si>
  <si>
    <t>Saco para lixo - 20 litros - Preto - pacote com 100 unidades</t>
  </si>
  <si>
    <t>Sacos (refil) para o embalador de guarda-chuva. Pacote com 1.000 unidades.</t>
  </si>
  <si>
    <t>Grafite em pó, frasco 25 g.</t>
  </si>
  <si>
    <t>frasco</t>
  </si>
  <si>
    <t>Tira grude 40g, removedor de colas/adesivos.</t>
  </si>
  <si>
    <t>CUSTO ANUAL DOS SANEANTES DOMISSANITÁRIOS</t>
  </si>
  <si>
    <t>CUSTO MENSAL DOS SANEANTES DOMISSANITÁRIOS</t>
  </si>
  <si>
    <r>
      <rPr>
        <b/>
        <sz val="10"/>
        <color rgb="FF000080"/>
        <rFont val="Arial"/>
      </rPr>
      <t xml:space="preserve">Materiais de Limpeza/higiene – </t>
    </r>
    <r>
      <rPr>
        <b/>
        <sz val="15"/>
        <color rgb="FF000080"/>
        <rFont val="Arial"/>
      </rPr>
      <t>COMPLEMENTARES COM REPOSIÇÃO</t>
    </r>
  </si>
  <si>
    <t>Papel higiênico branco com 30m cada rolo. Compatível com dispenser</t>
  </si>
  <si>
    <t>Fardo 64 rolos</t>
  </si>
  <si>
    <t>Papel higiênico rolão com 300m x 10cm. Compatível com dispenser.</t>
  </si>
  <si>
    <t>Fardo 8 rolos</t>
  </si>
  <si>
    <t>Papel toalha branco, interfolhas, pacote com 1250folhas de 22,5 x 26cm. Compatível com dispenser.</t>
  </si>
  <si>
    <t>Pacote 1.250 folhas</t>
  </si>
  <si>
    <t>Sabonete líquido. Bombona com 5 litros.</t>
  </si>
  <si>
    <t>CUSTO ANUAL DOS MATERIAIS DE LIMPEZA – COMPLEMENTARES</t>
  </si>
  <si>
    <t>CUSTO MENSAL DOS  MATERIAIS DE LIMPEZA – COMPLEMENTARES</t>
  </si>
  <si>
    <r>
      <rPr>
        <b/>
        <sz val="15"/>
        <color rgb="FF000080"/>
        <rFont val="Arial"/>
      </rPr>
      <t xml:space="preserve">MATERIAIS COMPLEMENTARES – UTENSÍLIOS
</t>
    </r>
    <r>
      <rPr>
        <b/>
        <sz val="10"/>
        <color rgb="FF000080"/>
        <rFont val="Arial"/>
      </rPr>
      <t>Disponibilidade no início do contrato com reposição quando precisar</t>
    </r>
  </si>
  <si>
    <t>Quantidade a disponibilizar</t>
  </si>
  <si>
    <t>Vida Útil   (em meses)</t>
  </si>
  <si>
    <t>Escova para sanitário</t>
  </si>
  <si>
    <t xml:space="preserve">unidade </t>
  </si>
  <si>
    <t>Balde plástico 15 litros</t>
  </si>
  <si>
    <r>
      <rPr>
        <sz val="10"/>
        <color rgb="FF000000"/>
        <rFont val="Arial"/>
      </rPr>
      <t>B</t>
    </r>
    <r>
      <rPr>
        <sz val="10"/>
        <color theme="1"/>
        <rFont val="Arial"/>
      </rPr>
      <t>alde com rodízio e espremedor, </t>
    </r>
    <r>
      <rPr>
        <sz val="10"/>
        <color rgb="FF000000"/>
        <rFont val="Arial"/>
      </rPr>
      <t>30 litros</t>
    </r>
  </si>
  <si>
    <t>Mangueira plástica ¾ com 25m e adaptadores</t>
  </si>
  <si>
    <t>Mangueira plástica ¾ com 50m e adaptadores</t>
  </si>
  <si>
    <t>Pá de recolhimento de lixo com cabo longo</t>
  </si>
  <si>
    <t>Desentupidor de pia</t>
  </si>
  <si>
    <t>Placa sinalizadora: "Cuidado, piso molhado"</t>
  </si>
  <si>
    <t>Vassoura de nylon c/ cabo longo – 120 cm - unidade padrão de qualidade BETANIN</t>
  </si>
  <si>
    <t>Vasculhador para teto / vassoura limpa teto tipo girafa com cabo </t>
  </si>
  <si>
    <t>Rodo de madeira com espuma 30 cm com cabo de madeira 120 cm</t>
  </si>
  <si>
    <t>Rodo 48 cm</t>
  </si>
  <si>
    <t>Ácido cloridrico- popular limpeza de pedra, bombona de 5 litros</t>
  </si>
  <si>
    <t>Extensão elétrica com cabo pp 3x2,5mm com 70 m de comprimento.</t>
  </si>
  <si>
    <t>Desentupidor tufão de 25 m</t>
  </si>
  <si>
    <t>Desentupidor tufão de 5 m</t>
  </si>
  <si>
    <t>Dispenser para papel toalha</t>
  </si>
  <si>
    <t>Dispenser para papel higiênico</t>
  </si>
  <si>
    <t>Dispenser para sabonete líquido</t>
  </si>
  <si>
    <t>Dispenser para álcool gel</t>
  </si>
  <si>
    <t>Tótem dispensador para álcool em gel com acionamento de pedal. Reservatório com capacidade de 1 litro.</t>
  </si>
  <si>
    <t>Embalador de guarda-chuva.</t>
  </si>
  <si>
    <t>Filtro do bebedouro (diversos modelos)</t>
  </si>
  <si>
    <t xml:space="preserve">CUSTO ANUAL DOS UTENSÍLIOS </t>
  </si>
  <si>
    <t xml:space="preserve">CUSTO MENSAL DOS UTENSÍLIOS </t>
  </si>
  <si>
    <t>EQUIPAMENTOS</t>
  </si>
  <si>
    <t>Depreciação (em meses)</t>
  </si>
  <si>
    <t>Escada em Alumínio com 8 degraus</t>
  </si>
  <si>
    <t>Escada em Alumínio com 3 degraus</t>
  </si>
  <si>
    <t>Andaime para uso em área interna (limpeza de espaços com pé-direito duplo - 8 peças de 1,00m x 1,50m)</t>
  </si>
  <si>
    <t>Kit completo - limpeza de vidro</t>
  </si>
  <si>
    <t>Lavador de alta pressão profissional 2000Psi</t>
  </si>
  <si>
    <t>Máquina de lavar – tanquinho</t>
  </si>
  <si>
    <t>Máquina de secar roupas</t>
  </si>
  <si>
    <t>Carrinho de limpeza, com mop completo</t>
  </si>
  <si>
    <t>Relógio ponto</t>
  </si>
  <si>
    <t>Roçadeira (para os contornos e acabamentos)</t>
  </si>
  <si>
    <t>Lavadora e secadora de pisos (à bateria) para a limpeza do Átrio e Corredores, com desempenho equivalente a 10 pessoas na operação. Modelo de referência: Kärcher BD 50/70 R Plus.</t>
  </si>
  <si>
    <t>Lavadora e secadora de pisos para a limpeza de salas e biblioteca, com desempenho equivalente a 8 pessoas na operação. Modelo de referência: Kärcher BD 38/12.</t>
  </si>
  <si>
    <t>Limpador de janelas, espelhos, superfícies lisas, com alta sucção, tanque de água de 150ml, podendo limpar de 70/80 metros quadrados de vidro. Usado para limpeza interna e externa com sensor anti-queda, à bateria.</t>
  </si>
  <si>
    <t>Extratora que permite pulverizar, escovar e aspirar em uma única passagem. Modelo de referência: Kärcher Puzzi 10/2.</t>
  </si>
  <si>
    <t>Aspirador de pó portátil</t>
  </si>
  <si>
    <t>Software  para o gerenciamento de informações de usuários e comunicação entre gerentes de instalações, funcionários e equipes de manutenção</t>
  </si>
  <si>
    <t xml:space="preserve">CUSTO ANUAL DOS EQUIPAMENTOS </t>
  </si>
  <si>
    <t xml:space="preserve">CUSTO MENSAL DOS EQUIPAMENTOS </t>
  </si>
  <si>
    <t>UNIFORMES E EPI'S</t>
  </si>
  <si>
    <t>Calça brim operacional</t>
  </si>
  <si>
    <t>peça</t>
  </si>
  <si>
    <t>Camiseta de algodão</t>
  </si>
  <si>
    <t>Calçado fechado de segurança, impermeável e antiderrapante</t>
  </si>
  <si>
    <t>par</t>
  </si>
  <si>
    <t>Jaqueta forrada</t>
  </si>
  <si>
    <t>Blusa de frio</t>
  </si>
  <si>
    <t>Bota de borracha cano médio</t>
  </si>
  <si>
    <t>Avental de PVC impermeável</t>
  </si>
  <si>
    <t>Capa de chuva</t>
  </si>
  <si>
    <t>Luva de látex forrada com palma antiderrapante</t>
  </si>
  <si>
    <t xml:space="preserve">par </t>
  </si>
  <si>
    <t>Luva de látex cano longo</t>
  </si>
  <si>
    <t>Máscara Descartável para pó</t>
  </si>
  <si>
    <t>Óculos de Proteção</t>
  </si>
  <si>
    <t>Protetor auricular</t>
  </si>
  <si>
    <t>Cinto de segurança com talabarte duplo e trava quedas</t>
  </si>
  <si>
    <t>Capacete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</si>
  <si>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</si>
  <si>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</si>
  <si>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</si>
  <si>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</si>
  <si>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</si>
  <si>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</si>
  <si>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</si>
  <si>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COMPLEMENTARES</t>
  </si>
  <si>
    <t>Materiais de Limpeza – UTENSÍLIOS</t>
  </si>
  <si>
    <t>MATERIAIS</t>
  </si>
  <si>
    <t>UNIFORMES</t>
  </si>
  <si>
    <t>TOTAIS</t>
  </si>
  <si>
    <r>
      <rPr>
        <b/>
        <sz val="10"/>
        <color rgb="FF000080"/>
        <rFont val="Arial"/>
      </rPr>
      <t xml:space="preserve">Quantidade da mão de obra alocada na prestação dos serviços (informação oriunda da aba 'Qtd de postos').                                               </t>
    </r>
    <r>
      <rPr>
        <b/>
        <sz val="10"/>
        <color rgb="FFFF0000"/>
        <rFont val="Arial"/>
      </rPr>
      <t>TOTAL DE TODOS OS POSTOS (20% + 40%)</t>
    </r>
  </si>
  <si>
    <t>OBS (1): os custos totais com materiais e equipamentos são fixos, qualquer que seja a produtividade adotada pois são fixados em função da área a ser limpa e conservada e não dependem do quantitativo de mão de obra utilizada.</t>
  </si>
  <si>
    <t xml:space="preserve">OBS (2): os custos totais com uniformes dependem do número de serventes, o qual varia de acordo com a produtividade adotada. </t>
  </si>
  <si>
    <t>OBS (3): a vida útil, os quantitativos e os preços dos insumos são apenas uma simulação feita para fins didáticos, sem o caráter de estudo técnico ou qualquer métrica, portanto não devem ser copiados, mas sim ajustados à realidade de cada contrato.</t>
  </si>
  <si>
    <t>QUANTIDADE DE POSTOS. SEM BANHEIRO. 20% INSALUBRIDADE</t>
  </si>
  <si>
    <t>tipo de piso</t>
  </si>
  <si>
    <t>produtividade (m² /             serv x mês)    Cfe jornada de trab</t>
  </si>
  <si>
    <t xml:space="preserve">área (m²) a ser contratada </t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</si>
  <si>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</si>
  <si>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</si>
  <si>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(3) empregado que cumprirá jornada diária menor</t>
  </si>
  <si>
    <t>(4)                   jornada diária em minutos do empregado que completará a execução da tarefa</t>
  </si>
  <si>
    <t>(5) Número de empregados que a contratada deverá alocar para a prestação dos serviços</t>
  </si>
  <si>
    <t>empregados com jornada diária de</t>
  </si>
  <si>
    <t xml:space="preserve">horas e mais </t>
  </si>
  <si>
    <t>empregado com jornada diária de</t>
  </si>
  <si>
    <t>minutos.</t>
  </si>
  <si>
    <t>TOTAL (TODAS AS ÁREAS NO MESMO PRÉDIO)</t>
  </si>
  <si>
    <t>Aproximadamente 
2,43 horas</t>
  </si>
  <si>
    <t>JORNADA DIÁRIA (HORAS)</t>
  </si>
  <si>
    <t>horas</t>
  </si>
  <si>
    <t>NÚMERO TOTAL DE SERVENTES EM JORNADA DE 8 HORAS</t>
  </si>
  <si>
    <t>Cálculo total do nº de serventes = (preço mensal dos serviços / valor do homem-mês) = R$ ----------- / ---------- = 10,36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</si>
  <si>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</si>
  <si>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</si>
  <si>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sz val="14"/>
        <color theme="1"/>
        <rFont val="Arial"/>
      </rPr>
      <t xml:space="preserve">3) A produtividade da </t>
    </r>
    <r>
      <rPr>
        <b/>
        <sz val="14"/>
        <color theme="1"/>
        <rFont val="Arial"/>
      </rPr>
      <t>esquadria externa</t>
    </r>
    <r>
      <rPr>
        <sz val="14"/>
        <color theme="1"/>
        <rFont val="Arial"/>
      </rPr>
      <t xml:space="preserve"> deve ser calculada considerando a metodologia de trabalho que, no Anexo VII-D da IN 5/17 que prevê incidência </t>
    </r>
    <r>
      <rPr>
        <b/>
        <sz val="14"/>
        <color theme="1"/>
        <rFont val="Arial"/>
      </rPr>
      <t>quinzenal</t>
    </r>
    <r>
      <rPr>
        <sz val="14"/>
        <color theme="1"/>
        <rFont val="Arial"/>
      </rPr>
      <t xml:space="preserve"> para a limpeza desse tipo de área. </t>
    </r>
  </si>
  <si>
    <r>
      <rPr>
        <sz val="14"/>
        <color theme="1"/>
        <rFont val="Arial"/>
      </rPr>
      <t xml:space="preserve">4) A produtividade da </t>
    </r>
    <r>
      <rPr>
        <b/>
        <sz val="14"/>
        <color theme="1"/>
        <rFont val="Arial"/>
      </rPr>
      <t>fachada envidraçada</t>
    </r>
    <r>
      <rPr>
        <sz val="14"/>
        <color theme="1"/>
        <rFont val="Arial"/>
      </rPr>
      <t xml:space="preserve"> deve ser calculada considerando a metodologia de trabalho que, no Anexo VII-D da IN 5/17 que prevê incidência </t>
    </r>
    <r>
      <rPr>
        <b/>
        <sz val="14"/>
        <color theme="1"/>
        <rFont val="Arial"/>
      </rPr>
      <t>semestral</t>
    </r>
    <r>
      <rPr>
        <sz val="14"/>
        <color theme="1"/>
        <rFont val="Arial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</si>
  <si>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</si>
  <si>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</si>
  <si>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C (produtividade) e D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</si>
  <si>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</si>
  <si>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</si>
  <si>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</si>
  <si>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</si>
  <si>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</si>
  <si>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</si>
  <si>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</si>
  <si>
    <t>QUANTIDADE DE POSTOS. COM BANHEIRO. 40% INSALUBRIDADE</t>
  </si>
  <si>
    <r>
      <rPr>
        <sz val="14"/>
        <color theme="1"/>
        <rFont val="Arial"/>
      </rPr>
      <t xml:space="preserve">3) A produtividade da </t>
    </r>
    <r>
      <rPr>
        <b/>
        <sz val="14"/>
        <color theme="1"/>
        <rFont val="Arial"/>
      </rPr>
      <t>esquadria externa</t>
    </r>
    <r>
      <rPr>
        <sz val="14"/>
        <color theme="1"/>
        <rFont val="Arial"/>
      </rPr>
      <t xml:space="preserve"> deve ser calculada considerando a metodologia de trabalho que, no Anexo VII-D da IN 5/17 que prevê incidência </t>
    </r>
    <r>
      <rPr>
        <b/>
        <sz val="14"/>
        <color theme="1"/>
        <rFont val="Arial"/>
      </rPr>
      <t>quinzenal</t>
    </r>
    <r>
      <rPr>
        <sz val="14"/>
        <color theme="1"/>
        <rFont val="Arial"/>
      </rPr>
      <t xml:space="preserve"> para a limpeza desse tipo de área. </t>
    </r>
  </si>
  <si>
    <r>
      <rPr>
        <sz val="14"/>
        <color theme="1"/>
        <rFont val="Arial"/>
      </rPr>
      <t xml:space="preserve">4) A produtividade da </t>
    </r>
    <r>
      <rPr>
        <b/>
        <sz val="14"/>
        <color theme="1"/>
        <rFont val="Arial"/>
      </rPr>
      <t>fachada envidraçada</t>
    </r>
    <r>
      <rPr>
        <sz val="14"/>
        <color theme="1"/>
        <rFont val="Arial"/>
      </rPr>
      <t xml:space="preserve"> deve ser calculada considerando a metodologia de trabalho que, no Anexo VII-D da IN 5/17 que prevê incidência </t>
    </r>
    <r>
      <rPr>
        <b/>
        <sz val="14"/>
        <color theme="1"/>
        <rFont val="Arial"/>
      </rPr>
      <t>semestral</t>
    </r>
    <r>
      <rPr>
        <sz val="14"/>
        <color theme="1"/>
        <rFont val="Arial"/>
      </rPr>
      <t xml:space="preserve"> para a limpeza desse tipo de área. </t>
    </r>
  </si>
  <si>
    <t>SERVIÇO DE LIMPEZA</t>
  </si>
  <si>
    <r>
      <rPr>
        <b/>
        <sz val="18"/>
        <color theme="1"/>
        <rFont val="Arial"/>
      </rPr>
      <t xml:space="preserve">ANEXO V </t>
    </r>
    <r>
      <rPr>
        <b/>
        <sz val="18"/>
        <color rgb="FFFF0000"/>
        <rFont val="Arial"/>
      </rPr>
      <t xml:space="preserve">do Pregão Eletrônico nº 17/2021 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MODELO DE PLANILHA DE CUSTOS E FORMAÇÃO DE PREÇOS  </t>
    </r>
  </si>
  <si>
    <t>Nº do processo: 23368.000267/2021-76</t>
  </si>
  <si>
    <t>Licitação nº: 17/2021</t>
  </si>
  <si>
    <t xml:space="preserve">Dia: 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</si>
  <si>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</si>
  <si>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</si>
  <si>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</si>
  <si>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</si>
  <si>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</si>
  <si>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</si>
  <si>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</si>
  <si>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</si>
  <si>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</si>
  <si>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</si>
  <si>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</si>
  <si>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</si>
  <si>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(área) </t>
  </si>
  <si>
    <t>a) Áreas internas - Pisos acarpetados</t>
  </si>
  <si>
    <t>m2</t>
  </si>
  <si>
    <t>b) Áreas internas - Pisos frios</t>
  </si>
  <si>
    <t>c) Áreas internas - Laboratórios</t>
  </si>
  <si>
    <t>d) Áreas internas - Almoxarifados/galpões</t>
  </si>
  <si>
    <t>e) Áreas internas - Pisos parquet</t>
  </si>
  <si>
    <t>f) Áreas internas - Áreas com espaços livres - saguão, hall e salão</t>
  </si>
  <si>
    <t xml:space="preserve">g) Banheiros 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</si>
  <si>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</si>
  <si>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</si>
  <si>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</si>
  <si>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</si>
  <si>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</si>
  <si>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</si>
  <si>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</si>
  <si>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</si>
  <si>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</si>
  <si>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</si>
  <si>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</si>
  <si>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</si>
  <si>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</si>
  <si>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</si>
  <si>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</si>
  <si>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b/>
        <sz val="10"/>
        <color theme="1"/>
        <rFont val="Arial"/>
      </rPr>
      <t xml:space="preserve">                                                                                                     </t>
    </r>
    <r>
      <rPr>
        <b/>
        <sz val="10"/>
        <color rgb="FFFF0000"/>
        <rFont val="Arial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</si>
  <si>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</si>
  <si>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</si>
  <si>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</si>
  <si>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</si>
  <si>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</si>
  <si>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</si>
  <si>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</si>
  <si>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</si>
  <si>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</si>
  <si>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</si>
  <si>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</si>
  <si>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 xml:space="preserve">      servente de limpeza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</si>
  <si>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</si>
  <si>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</si>
  <si>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</si>
  <si>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</si>
  <si>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</si>
  <si>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</si>
  <si>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color theme="1"/>
        <rFont val="Arial"/>
      </rPr>
      <t xml:space="preserve">Salário-Base               </t>
    </r>
    <r>
      <rPr>
        <b/>
        <sz val="10"/>
        <color rgb="FF0000FF"/>
        <rFont val="Arial"/>
      </rPr>
      <t xml:space="preserve"> Cfe jornada a ser contratada</t>
    </r>
  </si>
  <si>
    <t xml:space="preserve">Adicional de Periculosidade </t>
  </si>
  <si>
    <t xml:space="preserve">Adicional de Insalubridade </t>
  </si>
  <si>
    <r>
      <rPr>
        <b/>
        <sz val="10"/>
        <color theme="1"/>
        <rFont val="Arial"/>
      </rPr>
      <t xml:space="preserve">Adicional Noturno  </t>
    </r>
    <r>
      <rPr>
        <b/>
        <sz val="10"/>
        <color rgb="FF0000FF"/>
        <rFont val="Arial"/>
      </rPr>
      <t xml:space="preserve"> </t>
    </r>
  </si>
  <si>
    <t>E</t>
  </si>
  <si>
    <t xml:space="preserve">Adicional de Hora Noturna Reduzida </t>
  </si>
  <si>
    <t>F</t>
  </si>
  <si>
    <t xml:space="preserve">Adicional de Hora Extra no Feriado Trabalhado </t>
  </si>
  <si>
    <t>G</t>
  </si>
  <si>
    <t xml:space="preserve">Outros (especificar)                                          </t>
  </si>
  <si>
    <t xml:space="preserve">Total 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</si>
  <si>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</t>
  </si>
  <si>
    <t>Módulo 2 – Encargos e Benefícios Anuais, Mensais e Diários</t>
  </si>
  <si>
    <r>
      <rPr>
        <b/>
        <sz val="11"/>
        <color theme="1"/>
        <rFont val="Arial"/>
      </rPr>
      <t>Submódulo 2.1 – 13º (décimo terceiro) Salário</t>
    </r>
    <r>
      <rPr>
        <b/>
        <sz val="11"/>
        <color rgb="FFFF0000"/>
        <rFont val="Arial"/>
      </rPr>
      <t xml:space="preserve"> </t>
    </r>
    <r>
      <rPr>
        <b/>
        <sz val="11"/>
        <color theme="1"/>
        <rFont val="Arial"/>
      </rPr>
      <t xml:space="preserve">  e Adicional de Férias</t>
    </r>
  </si>
  <si>
    <t>2.1</t>
  </si>
  <si>
    <t>13º (décimo terceiro) Salário  e Adicional de Férias</t>
  </si>
  <si>
    <t>Valor (R$)</t>
  </si>
  <si>
    <r>
      <rPr>
        <b/>
        <sz val="10"/>
        <color theme="1"/>
        <rFont val="Arial"/>
      </rPr>
      <t xml:space="preserve">13º (décimo terceiro) Salário                 </t>
    </r>
    <r>
      <rPr>
        <b/>
        <sz val="10"/>
        <color rgb="FFFF0000"/>
        <rFont val="Arial"/>
      </rPr>
      <t xml:space="preserve">Cálculo do valor = Rem/12   </t>
    </r>
    <r>
      <rPr>
        <b/>
        <sz val="10"/>
        <color theme="1"/>
        <rFont val="Arial"/>
      </rPr>
      <t xml:space="preserve">  </t>
    </r>
  </si>
  <si>
    <r>
      <rPr>
        <b/>
        <sz val="10"/>
        <color theme="1"/>
        <rFont val="Arial"/>
      </rPr>
      <t xml:space="preserve">Férias e Adicional de Férias  </t>
    </r>
    <r>
      <rPr>
        <b/>
        <sz val="10"/>
        <color rgb="FFFF0000"/>
        <rFont val="Arial"/>
      </rPr>
      <t>Cálculo do valor = [(Rem/3)/12]</t>
    </r>
  </si>
  <si>
    <t>Total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</si>
  <si>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</si>
  <si>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</si>
  <si>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</si>
  <si>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</si>
  <si>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</si>
  <si>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</si>
  <si>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</si>
  <si>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 (Optante SIMPLES NACIONAL)</t>
  </si>
  <si>
    <r>
      <rPr>
        <b/>
        <sz val="10"/>
        <color theme="1"/>
        <rFont val="Arial"/>
      </rPr>
      <t xml:space="preserve">RAT x FAP
</t>
    </r>
    <r>
      <rPr>
        <b/>
        <sz val="8"/>
        <color rgb="FFFF0000"/>
        <rFont val="Arial"/>
      </rPr>
      <t>Cálculo do valor: % do SAT x FAP (Optante SIMPLES NACIONAL)</t>
    </r>
  </si>
  <si>
    <t>RAT =</t>
  </si>
  <si>
    <t xml:space="preserve"> FAP =</t>
  </si>
  <si>
    <t>SESC ou SESI (Optante SIMPLES NACIONAL)</t>
  </si>
  <si>
    <t>SENAC ou SENAI (Optante SIMPLES NACIONAL)</t>
  </si>
  <si>
    <t>SEBRAE (Optante SIMPLES NACIONAL)</t>
  </si>
  <si>
    <t>INCRA (Optante SIMPLES NACIONAL)</t>
  </si>
  <si>
    <t>H</t>
  </si>
  <si>
    <t>FGTS</t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</si>
  <si>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3 (???)</t>
    </r>
    <r>
      <rPr>
        <sz val="9"/>
        <color theme="1"/>
        <rFont val="Arial"/>
      </rPr>
      <t>, o Módulo 4 e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6 (???)</t>
    </r>
    <r>
      <rPr>
        <sz val="9"/>
        <color rgb="FF808000"/>
        <rFont val="Arial"/>
      </rPr>
      <t>.</t>
    </r>
  </si>
  <si>
    <t>Submódulo 2.3 – Benefícios Mensais e Diários</t>
  </si>
  <si>
    <t>2.3</t>
  </si>
  <si>
    <t>Benefícios Mensais e Diários</t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</si>
  <si>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FF0000"/>
        <rFont val="Arial"/>
      </rPr>
      <t xml:space="preserve"> Cálculo do valor: [(2xVTx22) – (6%xSB)]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</si>
  <si>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</si>
  <si>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</si>
  <si>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empregado:</t>
  </si>
  <si>
    <t xml:space="preserve">      A.3) Quantidade de dias do mês de recebimento de passagens</t>
  </si>
  <si>
    <r>
      <rPr>
        <b/>
        <sz val="10"/>
        <color theme="1"/>
        <rFont val="Arial"/>
      </rPr>
      <t xml:space="preserve">Auxílio-Refeição/Alimentação </t>
    </r>
    <r>
      <rPr>
        <b/>
        <sz val="10"/>
        <color rgb="FFFF0000"/>
        <rFont val="Arial"/>
      </rPr>
      <t>Cálculo do valor = [(22xVA)x(1-</t>
    </r>
    <r>
      <rPr>
        <b/>
        <sz val="10"/>
        <color rgb="FF0000FF"/>
        <rFont val="Arial"/>
      </rPr>
      <t>0,19</t>
    </r>
    <r>
      <rPr>
        <b/>
        <sz val="10"/>
        <color rgb="FFFF0000"/>
        <rFont val="Arial"/>
      </rPr>
      <t>)]</t>
    </r>
  </si>
  <si>
    <t xml:space="preserve">      B.1) Valor do auxílio-alimentação (clausula 19 da CCT 2019): </t>
  </si>
  <si>
    <t xml:space="preserve">      B.2) Quantidade de dias do mês de recebimento de auxílio-alimentação</t>
  </si>
  <si>
    <t xml:space="preserve">      B.3) Desconto do empregado (%)</t>
  </si>
  <si>
    <t>Assistência Médica e Familiar</t>
  </si>
  <si>
    <r>
      <rPr>
        <b/>
        <sz val="10"/>
        <color theme="1"/>
        <rFont val="Arial"/>
      </rPr>
      <t>Auxílio-Lanche</t>
    </r>
    <r>
      <rPr>
        <b/>
        <sz val="10"/>
        <color rgb="FFFF0000"/>
        <rFont val="Arial"/>
      </rPr>
      <t xml:space="preserve"> Cálculo do valor = [(4xVL)x(1-0,19)]</t>
    </r>
  </si>
  <si>
    <r>
      <rPr>
        <b/>
        <sz val="10"/>
        <color theme="1"/>
        <rFont val="Arial"/>
      </rPr>
      <t xml:space="preserve">Seguro contra riscos de acidente de trabalho </t>
    </r>
    <r>
      <rPr>
        <b/>
        <sz val="10"/>
        <color rgb="FFFF0000"/>
        <rFont val="Arial"/>
      </rPr>
      <t>Cálculo do valor = R$ 7.000,00x0,1068%</t>
    </r>
    <r>
      <rPr>
        <b/>
        <sz val="10"/>
        <color theme="1"/>
        <rFont val="Arial"/>
      </rPr>
      <t xml:space="preserve"> </t>
    </r>
    <r>
      <rPr>
        <b/>
        <sz val="10"/>
        <color rgb="FF0000FF"/>
        <rFont val="Arial"/>
      </rPr>
      <t>Como não tem mais essa exigência na CCT não pode descontar do empregado</t>
    </r>
  </si>
  <si>
    <r>
      <rPr>
        <b/>
        <sz val="10"/>
        <color theme="1"/>
        <rFont val="Arial"/>
      </rPr>
      <t xml:space="preserve">Plano de Benefício Social Familiar (cláusula 22 da CCT 2019)  </t>
    </r>
    <r>
      <rPr>
        <b/>
        <sz val="10"/>
        <color rgb="FFFF0000"/>
        <rFont val="Arial"/>
      </rPr>
      <t xml:space="preserve">Cálculo do valor = R$ 15,02 </t>
    </r>
    <r>
      <rPr>
        <b/>
        <sz val="10"/>
        <color rgb="FF0000FF"/>
        <rFont val="Arial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</si>
  <si>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</si>
  <si>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</si>
  <si>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</si>
  <si>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</si>
  <si>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</si>
  <si>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</si>
  <si>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</si>
  <si>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Valor  (R$)</t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</si>
  <si>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</si>
  <si>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</si>
  <si>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color theme="1"/>
        <rFont val="Arial"/>
      </rPr>
      <t xml:space="preserve">Multa do FGTS e contribuição social sobre o Aviso Prévio Indenizado                                             </t>
    </r>
    <r>
      <rPr>
        <b/>
        <sz val="10"/>
        <color rgb="FFFF0000"/>
        <rFont val="Arial"/>
      </rPr>
      <t>Cálculo do valor = [40%x8%x(Rem+13º+Férias+1/3xFérias)]x5% de rotatividade</t>
    </r>
  </si>
  <si>
    <r>
      <rPr>
        <b/>
        <sz val="10"/>
        <color theme="1"/>
        <rFont val="Arial"/>
      </rPr>
      <t xml:space="preserve">Aviso Prévio Trabalhado                 (negociar extinção/redução na 1ª prorrogação)
</t>
    </r>
    <r>
      <rPr>
        <b/>
        <sz val="10"/>
        <color rgb="FFFF0000"/>
        <rFont val="Arial"/>
      </rPr>
      <t>Cálculo do valor= [(Rem/30)x7]/20 meses do contratox100% dos empregados - ao final do contrato</t>
    </r>
  </si>
  <si>
    <t xml:space="preserve">Incidência dos encargos do Submódulo 2.2 sobre o Aviso Prévio Trabalhado         </t>
  </si>
  <si>
    <r>
      <rPr>
        <b/>
        <sz val="10"/>
        <color theme="1"/>
        <rFont val="Arial"/>
      </rPr>
      <t xml:space="preserve">Multa do FGTS e contribuição social  sobre o Aviso Prévio Trabalhado                                            </t>
    </r>
    <r>
      <rPr>
        <b/>
        <sz val="10"/>
        <color rgb="FFFF0000"/>
        <rFont val="Arial"/>
      </rPr>
      <t>Cálculo do valor = [40%x8%x(Rem+13º+Férias+1/3xFérias)]x100% dos empregados</t>
    </r>
  </si>
  <si>
    <t>Nota: Com a publicação da Lei 13.932 de 11/12/2019, extinguiu-se a cobrança da contribuição de 10% , devida pelos empregadores, em caso de despedida sem justa causa, incidentes nos cálculos das multas do FGTS e CS sobre os avisos prévios indenizados e trabalhados.</t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</si>
  <si>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</si>
  <si>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</si>
  <si>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r>
      <rPr>
        <b/>
        <sz val="11"/>
        <color rgb="FF0000FF"/>
        <rFont val="Arial"/>
      </rPr>
      <t xml:space="preserve">Base de cálculo para o Custo de Reposição do Profissional Ausente (substituto): BCCPA = Rem + 13º + Férias + 1/3Férias
</t>
    </r>
    <r>
      <rPr>
        <sz val="11"/>
        <color theme="1"/>
        <rFont val="Calibri"/>
      </rPr>
      <t>Conforme item 89 do Relatório do Acórdão TCU n 1.753/2008 do Plenário</t>
    </r>
  </si>
  <si>
    <t>Submódulo 4.1 – Ausências Legais</t>
  </si>
  <si>
    <t>4.1</t>
  </si>
  <si>
    <t>Ausências Legais</t>
  </si>
  <si>
    <r>
      <rPr>
        <b/>
        <sz val="10"/>
        <color theme="1"/>
        <rFont val="Arial"/>
      </rPr>
      <t xml:space="preserve">Férias                                                                                        </t>
    </r>
    <r>
      <rPr>
        <b/>
        <sz val="10"/>
        <color rgb="FFFF0000"/>
        <rFont val="Arial"/>
      </rPr>
      <t xml:space="preserve"> Cálculo do valor = 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/12</t>
    </r>
  </si>
  <si>
    <r>
      <rPr>
        <b/>
        <sz val="10"/>
        <color theme="1"/>
        <rFont val="Arial"/>
      </rPr>
      <t xml:space="preserve">Ausências Legais                                             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</si>
  <si>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Licença-Paternidade        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</si>
  <si>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Ausência por acidente de trabalho           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</si>
  <si>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Afastamento Maternidade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</si>
  <si>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rgb="FF000000"/>
        <rFont val="Arial"/>
      </rPr>
      <t xml:space="preserve">(Outros)   Ausência por doença </t>
    </r>
    <r>
      <rPr>
        <b/>
        <sz val="10"/>
        <color rgb="FF0000FF"/>
        <rFont val="Arial"/>
      </rPr>
      <t>(incluído)</t>
    </r>
    <r>
      <rPr>
        <b/>
        <sz val="10"/>
        <color rgb="FF000000"/>
        <rFont val="Arial"/>
      </rPr>
      <t xml:space="preserve">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)/30)x5dias]/12</t>
    </r>
  </si>
  <si>
    <t xml:space="preserve">Nota 1: A alínea “F” refere-se somente ao custo que será pago ao repositor pelos dias trabalhados quando da necessidade de substituir a mão de obra alocada na prestação do serviço.                                                                                                                                                                                                                          Nota 2: A alínea "A" referente as férias para a composição da Base de Cálculo do Custo do Profissional Ausente (BCCPA), está zerada porque a Administração tem as atividades reduzidas no período correspondente entre dezembro e fevereiro. Sendo assim, o IFRS Campus Poa tem intuito de agendar as férias dos terceirizados, sem reposição, para o período de recesso acima informado. 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</si>
  <si>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</si>
  <si>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</si>
  <si>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</si>
  <si>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</si>
  <si>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</si>
  <si>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</si>
  <si>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</si>
  <si>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</si>
  <si>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</si>
  <si>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</si>
  <si>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</si>
  <si>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</si>
  <si>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</si>
  <si>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</si>
  <si>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 xml:space="preserve">Outros (especificar) </t>
  </si>
  <si>
    <t>0.00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</si>
  <si>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</si>
  <si>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</si>
  <si>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</si>
  <si>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</si>
  <si>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</si>
  <si>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</si>
  <si>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</si>
  <si>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</si>
  <si>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</si>
  <si>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Regime</t>
  </si>
  <si>
    <t>C.1    Tributos Federais (especificar)</t>
  </si>
  <si>
    <t>Presum</t>
  </si>
  <si>
    <t>Real</t>
  </si>
  <si>
    <r>
      <rPr>
        <b/>
        <sz val="10"/>
        <color theme="1"/>
        <rFont val="Arial"/>
      </rPr>
      <t xml:space="preserve">a) Cofins </t>
    </r>
    <r>
      <rPr>
        <sz val="10"/>
        <color theme="1"/>
        <rFont val="Arial"/>
      </rPr>
      <t xml:space="preserve"> </t>
    </r>
    <r>
      <rPr>
        <sz val="10"/>
        <color rgb="FFFF0000"/>
        <rFont val="Arial"/>
      </rPr>
      <t>(depende do regime de tributação - utilizada a hipótese do SIMPLES - anexo IV)</t>
    </r>
  </si>
  <si>
    <t>Cofins</t>
  </si>
  <si>
    <t/>
  </si>
  <si>
    <r>
      <rPr>
        <b/>
        <sz val="10"/>
        <color theme="1"/>
        <rFont val="Arial"/>
      </rPr>
      <t xml:space="preserve">b) PIS </t>
    </r>
    <r>
      <rPr>
        <sz val="10"/>
        <color rgb="FFFF0000"/>
        <rFont val="Arial"/>
      </rPr>
      <t>(depende do regime de tributação - utilizada a hipótese do SIMPLES - anexo IV)</t>
    </r>
  </si>
  <si>
    <r>
      <rPr>
        <b/>
        <sz val="10"/>
        <color theme="1"/>
        <rFont val="Arial"/>
      </rPr>
      <t xml:space="preserve"> c) IRPJ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</si>
  <si>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d) CSLL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</si>
  <si>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</si>
  <si>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</si>
  <si>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r>
      <rPr>
        <b/>
        <sz val="10"/>
        <color theme="1"/>
        <rFont val="Arial"/>
      </rPr>
      <t xml:space="preserve">  a) ISS             </t>
    </r>
    <r>
      <rPr>
        <sz val="10"/>
        <color rgb="FFFF0000"/>
        <rFont val="Arial"/>
      </rPr>
      <t xml:space="preserve"> 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</si>
  <si>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</si>
  <si>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</si>
  <si>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</si>
  <si>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</si>
  <si>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</si>
  <si>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</si>
  <si>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</si>
  <si>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</si>
  <si>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</si>
  <si>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</si>
  <si>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</si>
  <si>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</si>
  <si>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</si>
  <si>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</si>
  <si>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</si>
  <si>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</si>
  <si>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</si>
  <si>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r>
      <rPr>
        <b/>
        <sz val="10"/>
        <color theme="1"/>
        <rFont val="Arial"/>
      </rPr>
      <t xml:space="preserve">ÁREA INTERNA (Fórmulas exemplificativas de cálculo para área interna - alíneas "a" e "b" do subitem 3.1 do Anexo VI-B; para as demais alíneas, deverão ser incluídos novos campos na planilha com a metragem adequada). </t>
    </r>
    <r>
      <rPr>
        <b/>
        <sz val="14"/>
        <color rgb="FF0000FF"/>
        <rFont val="Arial"/>
      </rPr>
      <t>Excluir esta observação)</t>
    </r>
  </si>
  <si>
    <t>MÃO DE OBRA 
       ENCARREGADO / SERVENTE</t>
  </si>
  <si>
    <t>(1) 
PRODUTIVIDADE
(1/M²)</t>
  </si>
  <si>
    <t>(2)
PREÇO HOMEM-MÊS                   (R$)</t>
  </si>
  <si>
    <t>(1 X 2)
SUBTOTAL
(R$/M²)</t>
  </si>
  <si>
    <r>
      <rPr>
        <sz val="10"/>
        <color theme="1"/>
        <rFont val="Arial"/>
      </rPr>
      <t xml:space="preserve">ENC. / Pisos acarpetados </t>
    </r>
    <r>
      <rPr>
        <sz val="10"/>
        <color rgb="FF993366"/>
        <rFont val="Arial"/>
      </rPr>
      <t xml:space="preserve"> </t>
    </r>
    <r>
      <rPr>
        <sz val="10"/>
        <color rgb="FFFF0000"/>
        <rFont val="Arial"/>
      </rPr>
      <t>= 1/(30** x 1000*)</t>
    </r>
  </si>
  <si>
    <r>
      <rPr>
        <sz val="10"/>
        <color theme="1"/>
        <rFont val="Arial"/>
      </rPr>
      <t>SERV. / Pisos acarpetados</t>
    </r>
    <r>
      <rPr>
        <sz val="10"/>
        <color rgb="FFFF0000"/>
        <rFont val="Arial"/>
      </rPr>
      <t xml:space="preserve"> = 1 / 1000*</t>
    </r>
  </si>
  <si>
    <t>TOTAL</t>
  </si>
  <si>
    <r>
      <rPr>
        <sz val="10"/>
        <color theme="1"/>
        <rFont val="Arial"/>
      </rPr>
      <t xml:space="preserve">ENC. / Pisos frios </t>
    </r>
    <r>
      <rPr>
        <sz val="10"/>
        <color rgb="FF993366"/>
        <rFont val="Arial"/>
      </rPr>
      <t xml:space="preserve"> </t>
    </r>
    <r>
      <rPr>
        <sz val="10"/>
        <color rgb="FFFF0000"/>
        <rFont val="Arial"/>
      </rPr>
      <t>= 1/(30** x 1000*)</t>
    </r>
  </si>
  <si>
    <r>
      <rPr>
        <sz val="10"/>
        <color theme="1"/>
        <rFont val="Arial"/>
      </rPr>
      <t xml:space="preserve">SERV. / Pisos frios </t>
    </r>
    <r>
      <rPr>
        <sz val="10"/>
        <color rgb="FFFF0000"/>
        <rFont val="Arial"/>
      </rPr>
      <t>= 1 / 1000*</t>
    </r>
  </si>
  <si>
    <r>
      <rPr>
        <sz val="10"/>
        <color theme="1"/>
        <rFont val="Arial"/>
      </rPr>
      <t>ENC. / Laboratórios</t>
    </r>
    <r>
      <rPr>
        <sz val="10"/>
        <color rgb="FFFF0000"/>
        <rFont val="Arial"/>
      </rPr>
      <t xml:space="preserve"> = 1/(30** x 405*)</t>
    </r>
  </si>
  <si>
    <r>
      <rPr>
        <sz val="10"/>
        <color theme="1"/>
        <rFont val="Arial"/>
      </rPr>
      <t>SERV. / Laboratórios</t>
    </r>
    <r>
      <rPr>
        <sz val="10"/>
        <color rgb="FFFF0000"/>
        <rFont val="Arial"/>
      </rPr>
      <t xml:space="preserve"> = 1/405*</t>
    </r>
  </si>
  <si>
    <r>
      <rPr>
        <sz val="9"/>
        <color theme="1"/>
        <rFont val="Arial"/>
      </rPr>
      <t xml:space="preserve">ENC. / Almoxaridados/galpões </t>
    </r>
    <r>
      <rPr>
        <sz val="9"/>
        <color rgb="FFFF0000"/>
        <rFont val="Arial"/>
      </rPr>
      <t>= 1/(30**x 2000*)</t>
    </r>
  </si>
  <si>
    <r>
      <rPr>
        <sz val="9"/>
        <color theme="1"/>
        <rFont val="Arial"/>
      </rPr>
      <t xml:space="preserve">SERV./Almoxaridados/galpões </t>
    </r>
    <r>
      <rPr>
        <sz val="9"/>
        <color rgb="FFFF0000"/>
        <rFont val="Arial"/>
      </rPr>
      <t>= 1/2000*</t>
    </r>
  </si>
  <si>
    <r>
      <rPr>
        <sz val="10"/>
        <color theme="1"/>
        <rFont val="Arial"/>
      </rPr>
      <t xml:space="preserve">ENC. / Oficinas </t>
    </r>
    <r>
      <rPr>
        <sz val="10"/>
        <color rgb="FFFF0000"/>
        <rFont val="Arial"/>
      </rPr>
      <t>= 1/(30**x1500*)</t>
    </r>
  </si>
  <si>
    <r>
      <rPr>
        <sz val="10"/>
        <color theme="1"/>
        <rFont val="Arial"/>
      </rPr>
      <t xml:space="preserve">SERV. / Oficinas </t>
    </r>
    <r>
      <rPr>
        <sz val="10"/>
        <color rgb="FFFF0000"/>
        <rFont val="Arial"/>
      </rPr>
      <t>= 1/1500*</t>
    </r>
  </si>
  <si>
    <r>
      <rPr>
        <sz val="10"/>
        <color theme="1"/>
        <rFont val="Arial"/>
      </rPr>
      <t xml:space="preserve">ENC. / Áreas com espaços livres - saguão, hall e salão </t>
    </r>
    <r>
      <rPr>
        <sz val="10"/>
        <color rgb="FFFF0000"/>
        <rFont val="Arial"/>
      </rPr>
      <t>= 1/(30**x1250*)</t>
    </r>
  </si>
  <si>
    <r>
      <rPr>
        <sz val="10"/>
        <color theme="1"/>
        <rFont val="Arial"/>
      </rPr>
      <t xml:space="preserve">SERV. / Áreas com espaços livres - saguão, hall e salão </t>
    </r>
    <r>
      <rPr>
        <sz val="10"/>
        <color rgb="FFFF0000"/>
        <rFont val="Arial"/>
      </rPr>
      <t>= 1/1250*</t>
    </r>
  </si>
  <si>
    <r>
      <rPr>
        <b/>
        <sz val="10"/>
        <color theme="1"/>
        <rFont val="Arial"/>
      </rPr>
      <t xml:space="preserve">ENC. / Banheiros </t>
    </r>
    <r>
      <rPr>
        <sz val="10"/>
        <color rgb="FFFF0000"/>
        <rFont val="Arial"/>
      </rPr>
      <t>= 1(30**x250*)</t>
    </r>
  </si>
  <si>
    <r>
      <rPr>
        <b/>
        <sz val="10"/>
        <color theme="1"/>
        <rFont val="Arial"/>
      </rPr>
      <t xml:space="preserve">SERV. / Banheiros </t>
    </r>
    <r>
      <rPr>
        <sz val="10"/>
        <color rgb="FFFF0000"/>
        <rFont val="Arial"/>
      </rPr>
      <t>= 1/250*</t>
    </r>
  </si>
  <si>
    <t>P = produtividade de referência do trabalhador prevista no subitem 3.1</t>
  </si>
  <si>
    <t>MÃO DE OBRA
       ENCARREGADO / SERVENTE</t>
  </si>
  <si>
    <t>(1)
PRODUTIVIDADE
(1/M²)</t>
  </si>
  <si>
    <t>(2)
PREÇO HOMEM-MÊS
(R$)</t>
  </si>
  <si>
    <r>
      <rPr>
        <sz val="10"/>
        <color theme="1"/>
        <rFont val="Arial"/>
      </rPr>
      <t xml:space="preserve">ENC. / Pisos pavimentados adjacentes/contíguos às edificações          </t>
    </r>
    <r>
      <rPr>
        <sz val="10"/>
        <color rgb="FFFF0000"/>
        <rFont val="Arial"/>
      </rPr>
      <t xml:space="preserve">   = 1/(30** x 2250*)</t>
    </r>
  </si>
  <si>
    <t>30</t>
  </si>
  <si>
    <r>
      <rPr>
        <sz val="10"/>
        <color theme="1"/>
        <rFont val="Arial"/>
      </rPr>
      <t xml:space="preserve">SERV. / Pisos pavimentados adjacentes/contíguos às edificações            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</si>
  <si>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>ENC. / Varrição de passeios e arruamentos</t>
    </r>
    <r>
      <rPr>
        <sz val="10"/>
        <color rgb="FFFF0000"/>
        <rFont val="Arial"/>
      </rPr>
      <t xml:space="preserve">  = 1/(30** x 7500*)</t>
    </r>
  </si>
  <si>
    <r>
      <rPr>
        <sz val="10"/>
        <color theme="1"/>
        <rFont val="Arial"/>
      </rPr>
      <t xml:space="preserve">SERV. / Varrição de passeios e arruamentos </t>
    </r>
    <r>
      <rPr>
        <sz val="10"/>
        <color rgb="FFFF0000"/>
        <rFont val="Arial"/>
      </rPr>
      <t>= 1/7500*</t>
    </r>
  </si>
  <si>
    <r>
      <rPr>
        <sz val="10"/>
        <color theme="1"/>
        <rFont val="Arial"/>
      </rPr>
      <t xml:space="preserve">ENC. / pátios e áreas verdes com alta frequência </t>
    </r>
    <r>
      <rPr>
        <sz val="10"/>
        <color rgb="FFFF0000"/>
        <rFont val="Arial"/>
      </rPr>
      <t>= 1/(30** x 2250*)</t>
    </r>
  </si>
  <si>
    <r>
      <rPr>
        <sz val="10"/>
        <color theme="1"/>
        <rFont val="Arial"/>
      </rPr>
      <t xml:space="preserve">SERV. / Pátios e áreas verdes com alta frequência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</si>
  <si>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 xml:space="preserve">Enc. / Pátios e áreas verdes com média frequência </t>
    </r>
    <r>
      <rPr>
        <sz val="10"/>
        <color rgb="FFFF0000"/>
        <rFont val="Arial"/>
      </rPr>
      <t>= 1/(30** x 2250*)</t>
    </r>
  </si>
  <si>
    <r>
      <rPr>
        <sz val="10"/>
        <color theme="1"/>
        <rFont val="Arial"/>
      </rPr>
      <t xml:space="preserve">SERV. / Pátios e áreas verdes com média frequência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</si>
  <si>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 xml:space="preserve">ENC. / Pátios e áreas verdes com baixa frequência </t>
    </r>
    <r>
      <rPr>
        <sz val="10"/>
        <color rgb="FFFF0000"/>
        <rFont val="Arial"/>
      </rPr>
      <t>= 1/(30** x 2250*)</t>
    </r>
  </si>
  <si>
    <t>1</t>
  </si>
  <si>
    <r>
      <rPr>
        <sz val="10"/>
        <color theme="1"/>
        <rFont val="Arial"/>
      </rPr>
      <t xml:space="preserve">SERV. / Pátios e áreas verdes com baixa frequência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</si>
  <si>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 xml:space="preserve">ENC. / Coleta de detritos em pátio e áreas verdes com frequência diária </t>
    </r>
    <r>
      <rPr>
        <sz val="10"/>
        <color rgb="FFFF0000"/>
        <rFont val="Arial"/>
      </rPr>
      <t>= 1/(30** x 100000*)</t>
    </r>
  </si>
  <si>
    <r>
      <rPr>
        <sz val="10"/>
        <color theme="1"/>
        <rFont val="Arial"/>
      </rPr>
      <t xml:space="preserve">SERV. / Coleta de detritos em pátios e áreas verdes com frequência diária </t>
    </r>
    <r>
      <rPr>
        <sz val="10"/>
        <color rgb="FFFF0000"/>
        <rFont val="Arial"/>
      </rPr>
      <t>= 1/100000*</t>
    </r>
  </si>
  <si>
    <t>P = produtividade de referência do trabalhador prevista no subitem 3.2</t>
  </si>
  <si>
    <r>
      <rPr>
        <b/>
        <sz val="9"/>
        <color theme="1"/>
        <rFont val="Arial"/>
      </rPr>
      <t xml:space="preserve">MÃO DE OBRA 
       </t>
    </r>
    <r>
      <rPr>
        <b/>
        <sz val="8"/>
        <color rgb="FF000000"/>
        <rFont val="Arial"/>
      </rPr>
      <t>ENCARREGADO / SERVENTE</t>
    </r>
  </si>
  <si>
    <t>(1)
PRODUTIVIDADE 
(1/M²)</t>
  </si>
  <si>
    <t>(2) FREQUÊNCIA NO MÊS    (HORAS)      16 ***</t>
  </si>
  <si>
    <t>(3)
 JORNADA DE TRABALHO NO MÊS
 (HORAS)</t>
  </si>
  <si>
    <t>(4) 
= (1 X 2 X 3)
Ki****</t>
  </si>
  <si>
    <t>(5)
PREÇO HOMEM-MÊS 
(R$)</t>
  </si>
  <si>
    <t>(6) = (4 X 5)
 SUBTOTAL
 (R$/M²)</t>
  </si>
  <si>
    <t>ENC. / Face externa com exposição a situação de risco = 1/(30**x145)</t>
  </si>
  <si>
    <t>188,76</t>
  </si>
  <si>
    <t>SERV. / Face externa com exposição a situação de risco = 1/145*</t>
  </si>
  <si>
    <t>ENC. / Face externa sem exposição a situação de risco = 1/(30**x340*)</t>
  </si>
  <si>
    <t>SERV. / Face externa sem exposição a situação de risco = 1/340*</t>
  </si>
  <si>
    <r>
      <rPr>
        <sz val="10"/>
        <color theme="1"/>
        <rFont val="Arial"/>
      </rPr>
      <t xml:space="preserve">ENC. / Face interna               </t>
    </r>
    <r>
      <rPr>
        <sz val="10"/>
        <color rgb="FFFF0000"/>
        <rFont val="Arial"/>
      </rPr>
      <t>= 1/(30**x340)</t>
    </r>
  </si>
  <si>
    <r>
      <rPr>
        <sz val="10"/>
        <color theme="1"/>
        <rFont val="Arial"/>
      </rPr>
      <t xml:space="preserve">SERV. / Face interna </t>
    </r>
    <r>
      <rPr>
        <sz val="10"/>
        <color rgb="FFFF0000"/>
        <rFont val="Arial"/>
      </rPr>
      <t>= 1/340*</t>
    </r>
  </si>
  <si>
    <t>P = produtividade de referência do trabalhador prevista no subitem 3.3</t>
  </si>
  <si>
    <t>FACHADA ENVIDRAÇADA – FACE EXTERNA</t>
  </si>
  <si>
    <r>
      <rPr>
        <b/>
        <sz val="9"/>
        <color theme="1"/>
        <rFont val="Arial"/>
      </rPr>
      <t xml:space="preserve">MÃO DE OBRA 
       </t>
    </r>
    <r>
      <rPr>
        <b/>
        <sz val="8"/>
        <color rgb="FF000000"/>
        <rFont val="Arial"/>
      </rPr>
      <t>ENCARREGADO / SERVENTE</t>
    </r>
  </si>
  <si>
    <t>(1)
PRODUTIVIDADE (1/M²)</t>
  </si>
  <si>
    <t>(2) FREQUÊNCIA NO SEMESTRE (HORAS) 8 ***</t>
  </si>
  <si>
    <t>(3)
JORNADA DE TRABALHO NO SEMESTRE (HORAS)</t>
  </si>
  <si>
    <t>(4) 
= (1 X 2 X 3)                               Ke****</t>
  </si>
  <si>
    <t>(5) PREÇO HOMEM-MÊS (R$)</t>
  </si>
  <si>
    <t>(4 X 5)
                  SUBTOTAL                      (R$/M²)</t>
  </si>
  <si>
    <r>
      <rPr>
        <sz val="10"/>
        <color theme="1"/>
        <rFont val="Arial"/>
      </rPr>
      <t>Encarregado</t>
    </r>
    <r>
      <rPr>
        <sz val="10"/>
        <color rgb="FFFF0000"/>
        <rFont val="Arial"/>
      </rPr>
      <t xml:space="preserve">      = 1/(4**x145*)</t>
    </r>
  </si>
  <si>
    <r>
      <rPr>
        <sz val="10"/>
        <color theme="1"/>
        <rFont val="Arial"/>
      </rPr>
      <t xml:space="preserve">Servente </t>
    </r>
    <r>
      <rPr>
        <sz val="10"/>
        <color rgb="FFFF0000"/>
        <rFont val="Arial"/>
      </rPr>
      <t>= 1/145*</t>
    </r>
  </si>
  <si>
    <t>P = produtividade de referência do trabalhador prevista no subitem 3.4</t>
  </si>
  <si>
    <t>ÁREA MÉDICO- HOSPITALAR E ASSEMELHADOS</t>
  </si>
  <si>
    <t>MÃO DE OBRA
ENCARREGADO / SERVENTE</t>
  </si>
  <si>
    <t>(2)
PREÇO HOMEM-MÊS        (R$)</t>
  </si>
  <si>
    <r>
      <rPr>
        <sz val="10"/>
        <color theme="1"/>
        <rFont val="Arial"/>
      </rPr>
      <t xml:space="preserve">Encarregado </t>
    </r>
    <r>
      <rPr>
        <sz val="10"/>
        <color rgb="FFFF0000"/>
        <rFont val="Arial"/>
      </rPr>
      <t>= 1(30** x 405*)</t>
    </r>
  </si>
  <si>
    <r>
      <rPr>
        <sz val="10"/>
        <color theme="1"/>
        <rFont val="Arial"/>
      </rPr>
      <t xml:space="preserve">Servente </t>
    </r>
    <r>
      <rPr>
        <sz val="10"/>
        <color rgb="FFFF0000"/>
        <rFont val="Arial"/>
      </rPr>
      <t>= 1/405*</t>
    </r>
  </si>
  <si>
    <t>P = produtividade de referência do trabalhador prevista no subitem 3.5</t>
  </si>
  <si>
    <t>4. VALOR MENSAL DOS SERVIÇOS</t>
  </si>
  <si>
    <t>PREÇO MENSAL UNITÁRIO (R$/M²)</t>
  </si>
  <si>
    <t>ÁREA
(M²)</t>
  </si>
  <si>
    <t>SUBTOTAL
(R$)</t>
  </si>
  <si>
    <t>e) Áreas internas - parquet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</si>
  <si>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</si>
  <si>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</si>
  <si>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</si>
  <si>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</si>
  <si>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</si>
  <si>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</si>
  <si>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</si>
  <si>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</si>
  <si>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</si>
  <si>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</si>
  <si>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</si>
  <si>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</si>
  <si>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</si>
  <si>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</si>
  <si>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</si>
  <si>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t>QUANTIDADE DE PESSOAL ALOCADO NA EXECUÇÃO CONTRATUAL (item 6.2.e do Anexo VII da IN nº 5/2017)</t>
  </si>
  <si>
    <t>Tipo de Mão de Obra</t>
  </si>
  <si>
    <t>Quantidade de Pessoal</t>
  </si>
  <si>
    <t>Servente</t>
  </si>
  <si>
    <t>Encarregado</t>
  </si>
  <si>
    <t xml:space="preserve"> MATERIAIS, MÁQUINAS E EQUIPAMENTOS ALOCADOS NA EXECUÇÃO CONTRATUAL  (item 6.2.f do Anexo VII da IN nº 5/2017)</t>
  </si>
  <si>
    <t>Especificação dos Materiais/Máquinas/Equipamentos</t>
  </si>
  <si>
    <t xml:space="preserve">Quantidade </t>
  </si>
  <si>
    <t>Conforme Termo de Referência</t>
  </si>
  <si>
    <r>
      <rPr>
        <b/>
        <sz val="18"/>
        <color theme="1"/>
        <rFont val="Arial"/>
      </rPr>
      <t xml:space="preserve">ANEXO V </t>
    </r>
    <r>
      <rPr>
        <b/>
        <sz val="18"/>
        <color rgb="FFFF0000"/>
        <rFont val="Arial"/>
      </rPr>
      <t>do Pregão Eletrônico nº 17/2021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MODELO DE PLANILHA DE CUSTOS E FORMAÇÃO DE PREÇOS  </t>
    </r>
  </si>
  <si>
    <r>
      <rPr>
        <b/>
        <sz val="10"/>
        <color theme="1"/>
        <rFont val="Arial"/>
      </rPr>
      <t xml:space="preserve">                                                                                                     </t>
    </r>
    <r>
      <rPr>
        <b/>
        <sz val="10"/>
        <color rgb="FFFF0000"/>
        <rFont val="Arial"/>
      </rPr>
      <t>TOTAL DAS ÁREAS HOSPITALARES</t>
    </r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</si>
  <si>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</si>
  <si>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r>
      <rPr>
        <b/>
        <sz val="10"/>
        <color theme="1"/>
        <rFont val="Arial"/>
      </rPr>
      <t xml:space="preserve">Salário-Base               </t>
    </r>
    <r>
      <rPr>
        <b/>
        <sz val="10"/>
        <color rgb="FF0000FF"/>
        <rFont val="Arial"/>
      </rPr>
      <t xml:space="preserve"> Cfe jornada a ser contratada</t>
    </r>
  </si>
  <si>
    <t>Adicional de Insalubridade (40% do SB - cláusula 55 da CCT SINDASSEIO/POA 2019)</t>
  </si>
  <si>
    <r>
      <rPr>
        <b/>
        <sz val="10"/>
        <color theme="1"/>
        <rFont val="Arial"/>
      </rPr>
      <t xml:space="preserve">Adicional Noturno  </t>
    </r>
    <r>
      <rPr>
        <b/>
        <sz val="10"/>
        <color rgb="FF0000FF"/>
        <rFont val="Arial"/>
      </rPr>
      <t xml:space="preserve"> </t>
    </r>
  </si>
  <si>
    <r>
      <rPr>
        <b/>
        <sz val="11"/>
        <color theme="1"/>
        <rFont val="Arial"/>
      </rPr>
      <t>Submódulo 2.1 – 13º (décimo terceiro) Salário</t>
    </r>
    <r>
      <rPr>
        <b/>
        <sz val="11"/>
        <color rgb="FFFF0000"/>
        <rFont val="Arial"/>
      </rPr>
      <t xml:space="preserve"> </t>
    </r>
    <r>
      <rPr>
        <b/>
        <sz val="11"/>
        <color theme="1"/>
        <rFont val="Arial"/>
      </rPr>
      <t xml:space="preserve">  e Adicional de Férias</t>
    </r>
  </si>
  <si>
    <r>
      <rPr>
        <b/>
        <sz val="10"/>
        <color theme="1"/>
        <rFont val="Arial"/>
      </rPr>
      <t xml:space="preserve">13º (décimo terceiro) Salário                 </t>
    </r>
    <r>
      <rPr>
        <b/>
        <sz val="10"/>
        <color rgb="FFFF0000"/>
        <rFont val="Arial"/>
      </rPr>
      <t xml:space="preserve">Cálculo do valor = Rem/12   </t>
    </r>
    <r>
      <rPr>
        <b/>
        <sz val="10"/>
        <color theme="1"/>
        <rFont val="Arial"/>
      </rPr>
      <t xml:space="preserve">  </t>
    </r>
  </si>
  <si>
    <r>
      <rPr>
        <b/>
        <sz val="10"/>
        <color theme="1"/>
        <rFont val="Arial"/>
      </rPr>
      <t xml:space="preserve">Férias e Adicional de Férias  </t>
    </r>
    <r>
      <rPr>
        <b/>
        <sz val="10"/>
        <color rgb="FFFF0000"/>
        <rFont val="Arial"/>
      </rPr>
      <t>Cálculo do valor = [(Rem/3)/12]</t>
    </r>
  </si>
  <si>
    <r>
      <rPr>
        <b/>
        <sz val="10"/>
        <color theme="1"/>
        <rFont val="Arial"/>
      </rPr>
      <t xml:space="preserve">RAT x FAP
</t>
    </r>
    <r>
      <rPr>
        <b/>
        <sz val="8"/>
        <color rgb="FFFF0000"/>
        <rFont val="Arial"/>
      </rPr>
      <t>Cálculo do valor: % do SAT x FAP (Optante SIMPLES NACIONAL)</t>
    </r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</si>
  <si>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3 (???)</t>
    </r>
    <r>
      <rPr>
        <sz val="9"/>
        <color theme="1"/>
        <rFont val="Arial"/>
      </rPr>
      <t>, o Módulo 4 e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6 (???)</t>
    </r>
    <r>
      <rPr>
        <sz val="9"/>
        <color rgb="FF808000"/>
        <rFont val="Arial"/>
      </rPr>
      <t>.</t>
    </r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</si>
  <si>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FF0000"/>
        <rFont val="Arial"/>
      </rPr>
      <t xml:space="preserve"> Cálculo do valor: [(2xVTx22) – (6%xSB)]</t>
    </r>
  </si>
  <si>
    <r>
      <rPr>
        <b/>
        <sz val="10"/>
        <color theme="1"/>
        <rFont val="Arial"/>
      </rPr>
      <t xml:space="preserve">Auxílio-Refeição/Alimentação </t>
    </r>
    <r>
      <rPr>
        <b/>
        <sz val="10"/>
        <color rgb="FFFF0000"/>
        <rFont val="Arial"/>
      </rPr>
      <t>Cálculo do valor = [(22xVA)x(1-</t>
    </r>
    <r>
      <rPr>
        <b/>
        <sz val="10"/>
        <color rgb="FF0000FF"/>
        <rFont val="Arial"/>
      </rPr>
      <t>0,19</t>
    </r>
    <r>
      <rPr>
        <b/>
        <sz val="10"/>
        <color rgb="FFFF0000"/>
        <rFont val="Arial"/>
      </rPr>
      <t>)]</t>
    </r>
  </si>
  <si>
    <r>
      <rPr>
        <b/>
        <sz val="10"/>
        <color theme="1"/>
        <rFont val="Arial"/>
      </rPr>
      <t>Auxílio-Lanche</t>
    </r>
    <r>
      <rPr>
        <b/>
        <sz val="10"/>
        <color rgb="FFFF0000"/>
        <rFont val="Arial"/>
      </rPr>
      <t xml:space="preserve"> Cálculo do valor = [(4xVL)x(1-0,19)]</t>
    </r>
  </si>
  <si>
    <r>
      <rPr>
        <b/>
        <sz val="10"/>
        <color theme="1"/>
        <rFont val="Arial"/>
      </rPr>
      <t xml:space="preserve">Seguro contra riscos de acidente de trabalho </t>
    </r>
    <r>
      <rPr>
        <b/>
        <sz val="10"/>
        <color rgb="FFFF0000"/>
        <rFont val="Arial"/>
      </rPr>
      <t>Cálculo do valor = R$ 7.000,00x0,1068%</t>
    </r>
    <r>
      <rPr>
        <b/>
        <sz val="10"/>
        <color theme="1"/>
        <rFont val="Arial"/>
      </rPr>
      <t xml:space="preserve"> </t>
    </r>
    <r>
      <rPr>
        <b/>
        <sz val="10"/>
        <color rgb="FF0000FF"/>
        <rFont val="Arial"/>
      </rPr>
      <t>Como não tem mais essa exigência na CCT não pode descontar do empregado</t>
    </r>
  </si>
  <si>
    <r>
      <rPr>
        <b/>
        <sz val="10"/>
        <color theme="1"/>
        <rFont val="Arial"/>
      </rPr>
      <t xml:space="preserve">Plano de Benefício Social Familiar (cláusula 22 da CCT 2019)  </t>
    </r>
    <r>
      <rPr>
        <b/>
        <sz val="10"/>
        <color rgb="FFFF0000"/>
        <rFont val="Arial"/>
      </rPr>
      <t xml:space="preserve">Cálculo do valor = R$ 15,02 </t>
    </r>
    <r>
      <rPr>
        <b/>
        <sz val="10"/>
        <color rgb="FF0000FF"/>
        <rFont val="Arial"/>
      </rPr>
      <t>Sem participação do empregado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</si>
  <si>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</si>
  <si>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Multa do FGTS e contribuição social sobre o Aviso Prévio Indenizado                                             </t>
    </r>
    <r>
      <rPr>
        <b/>
        <sz val="10"/>
        <color rgb="FFFF0000"/>
        <rFont val="Arial"/>
      </rPr>
      <t>Cálculo do valor = [40%x8%x(Rem+13º+Férias+1/3xFérias)]x5% de rotatividade</t>
    </r>
  </si>
  <si>
    <r>
      <rPr>
        <b/>
        <sz val="10"/>
        <color theme="1"/>
        <rFont val="Arial"/>
      </rPr>
      <t xml:space="preserve">Aviso Prévio Trabalhado                 (negociar extinção/redução na 1ª prorrogação)
</t>
    </r>
    <r>
      <rPr>
        <b/>
        <sz val="10"/>
        <color rgb="FFFF0000"/>
        <rFont val="Arial"/>
      </rPr>
      <t>Cálculo do valor= [(Rem/30)x7]/12 meses do contratox100% dos empregados - ao final do contrato</t>
    </r>
  </si>
  <si>
    <r>
      <rPr>
        <b/>
        <sz val="10"/>
        <color theme="1"/>
        <rFont val="Arial"/>
      </rPr>
      <t xml:space="preserve">Multa do FGTS e contribuição social  sobre o Aviso Prévio Trabalhado                                            </t>
    </r>
    <r>
      <rPr>
        <b/>
        <sz val="10"/>
        <color rgb="FFFF0000"/>
        <rFont val="Arial"/>
      </rPr>
      <t>Cálculo do valor = [40%x8%x(Rem+13º+Férias+1/3xFérias)]x100% dos empregados</t>
    </r>
  </si>
  <si>
    <r>
      <rPr>
        <b/>
        <sz val="11"/>
        <color rgb="FF0000FF"/>
        <rFont val="Arial"/>
      </rPr>
      <t xml:space="preserve">Base de cálculo para o Custo de Reposição do Profissional Ausente (substituto): BCCPA = Rem + 13º + Férias + 1/3Férias
</t>
    </r>
    <r>
      <rPr>
        <sz val="11"/>
        <color theme="1"/>
        <rFont val="Calibri"/>
      </rPr>
      <t>Conforme item 89 do Relatório do Acórdão TCU n 1.753/2008 do Plenário</t>
    </r>
  </si>
  <si>
    <r>
      <rPr>
        <b/>
        <sz val="10"/>
        <color theme="1"/>
        <rFont val="Arial"/>
      </rPr>
      <t xml:space="preserve">Férias                                                                                        </t>
    </r>
    <r>
      <rPr>
        <b/>
        <sz val="10"/>
        <color rgb="FFFF0000"/>
        <rFont val="Arial"/>
      </rPr>
      <t xml:space="preserve"> Cálculo do valor = 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/12</t>
    </r>
  </si>
  <si>
    <r>
      <rPr>
        <b/>
        <sz val="10"/>
        <color theme="1"/>
        <rFont val="Arial"/>
      </rPr>
      <t xml:space="preserve">Ausências Legais                                             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</si>
  <si>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Licença-Paternidade        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</si>
  <si>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Ausência por acidente de trabalho           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</si>
  <si>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Afastamento Maternidade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</si>
  <si>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rgb="FF000000"/>
        <rFont val="Arial"/>
      </rPr>
      <t xml:space="preserve">(Outros)   Ausência por doença </t>
    </r>
    <r>
      <rPr>
        <b/>
        <sz val="10"/>
        <color rgb="FF0000FF"/>
        <rFont val="Arial"/>
      </rPr>
      <t>(incluído)</t>
    </r>
    <r>
      <rPr>
        <b/>
        <sz val="10"/>
        <color rgb="FF000000"/>
        <rFont val="Arial"/>
      </rPr>
      <t xml:space="preserve">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)/30)x5dias]/12</t>
    </r>
  </si>
  <si>
    <t xml:space="preserve">Nota 1: A alínea “F” refere-se somente ao custo que será pago ao repositor pelos dias trabalhados quando da necessidade de substituir a mão de obra alocada na prestação do serviço.                                                                                                                                                                                                                          Nota 2: A alínea "A" referente as férias para a composição da Base de Cálculo do Custo do Profissional Ausente (BCCPA),  está zerada porque a Administração tem as atividades reduzidas no período correspondente entre dezembro e fevereiro. Sendo assim, o IFRS Campus Poa tem intuito de agendar as férias dos terceirizados, sem reposição, para o período de recesso acima informado. </t>
  </si>
  <si>
    <r>
      <rPr>
        <sz val="10"/>
        <color theme="1"/>
        <rFont val="Arial"/>
      </rPr>
      <t xml:space="preserve">a) </t>
    </r>
    <r>
      <rPr>
        <b/>
        <sz val="10"/>
        <color theme="1"/>
        <rFont val="Arial"/>
      </rPr>
      <t xml:space="preserve">Cofins  </t>
    </r>
    <r>
      <rPr>
        <sz val="10"/>
        <color rgb="FFFF0000"/>
        <rFont val="Arial"/>
      </rPr>
      <t>(depende do regime de tributação - utilizada a hipótese do SIMPLES - anexo IV)</t>
    </r>
  </si>
  <si>
    <r>
      <rPr>
        <b/>
        <sz val="10"/>
        <color theme="1"/>
        <rFont val="Arial"/>
      </rPr>
      <t xml:space="preserve">b) PIS </t>
    </r>
    <r>
      <rPr>
        <sz val="10"/>
        <color rgb="FFFF0000"/>
        <rFont val="Arial"/>
      </rPr>
      <t>(depende do regime de tributação - utilizada a hipótese do SIMPLES - anexo IV)</t>
    </r>
  </si>
  <si>
    <r>
      <rPr>
        <b/>
        <sz val="10"/>
        <color theme="1"/>
        <rFont val="Arial"/>
      </rPr>
      <t xml:space="preserve"> c) IRPJ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</si>
  <si>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d) CSLL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</si>
  <si>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 a) ISS             </t>
    </r>
    <r>
      <rPr>
        <sz val="10"/>
        <color rgb="FFFF0000"/>
        <rFont val="Arial"/>
      </rPr>
      <t xml:space="preserve"> </t>
    </r>
  </si>
  <si>
    <r>
      <rPr>
        <b/>
        <sz val="10"/>
        <color theme="1"/>
        <rFont val="Arial"/>
      </rPr>
      <t xml:space="preserve">ÁREA INTERNA (Fórmulas exemplificativas de cálculo para área interna - alíneas "a" e "b" do subitem 3.1 do Anexo VI-B; para as demais alíneas, deverão ser incluídos novos campos na planilha com a metragem adequada). </t>
    </r>
    <r>
      <rPr>
        <b/>
        <sz val="14"/>
        <color rgb="FF0000FF"/>
        <rFont val="Arial"/>
      </rPr>
      <t>Excluir esta observação)</t>
    </r>
  </si>
  <si>
    <r>
      <rPr>
        <sz val="10"/>
        <color theme="1"/>
        <rFont val="Arial"/>
      </rPr>
      <t xml:space="preserve">ENC. / Pisos acarpetados </t>
    </r>
    <r>
      <rPr>
        <sz val="10"/>
        <color rgb="FF993366"/>
        <rFont val="Arial"/>
      </rPr>
      <t xml:space="preserve"> </t>
    </r>
    <r>
      <rPr>
        <sz val="10"/>
        <color rgb="FFFF0000"/>
        <rFont val="Arial"/>
      </rPr>
      <t>= 1/(30** x 1000*)</t>
    </r>
  </si>
  <si>
    <r>
      <rPr>
        <sz val="10"/>
        <color theme="1"/>
        <rFont val="Arial"/>
      </rPr>
      <t>SERV. / Pisos acarpetados</t>
    </r>
    <r>
      <rPr>
        <sz val="10"/>
        <color rgb="FFFF0000"/>
        <rFont val="Arial"/>
      </rPr>
      <t xml:space="preserve"> = 1 / 1000*</t>
    </r>
  </si>
  <si>
    <r>
      <rPr>
        <sz val="10"/>
        <color theme="1"/>
        <rFont val="Arial"/>
      </rPr>
      <t xml:space="preserve">ENC. / Pisos frios </t>
    </r>
    <r>
      <rPr>
        <sz val="10"/>
        <color rgb="FF993366"/>
        <rFont val="Arial"/>
      </rPr>
      <t xml:space="preserve"> </t>
    </r>
    <r>
      <rPr>
        <sz val="10"/>
        <color rgb="FFFF0000"/>
        <rFont val="Arial"/>
      </rPr>
      <t>= 1/(30** x 1000*)</t>
    </r>
  </si>
  <si>
    <r>
      <rPr>
        <sz val="10"/>
        <color theme="1"/>
        <rFont val="Arial"/>
      </rPr>
      <t xml:space="preserve">SERV. / Pisos frios </t>
    </r>
    <r>
      <rPr>
        <sz val="10"/>
        <color rgb="FFFF0000"/>
        <rFont val="Arial"/>
      </rPr>
      <t>= 1 / 1000*</t>
    </r>
  </si>
  <si>
    <r>
      <rPr>
        <sz val="10"/>
        <color theme="1"/>
        <rFont val="Arial"/>
      </rPr>
      <t>ENC. / Laboratórios</t>
    </r>
    <r>
      <rPr>
        <sz val="10"/>
        <color rgb="FFFF0000"/>
        <rFont val="Arial"/>
      </rPr>
      <t xml:space="preserve"> = 1/(30** x 405*)</t>
    </r>
  </si>
  <si>
    <r>
      <rPr>
        <sz val="10"/>
        <color theme="1"/>
        <rFont val="Arial"/>
      </rPr>
      <t>SERV. / Laboratórios</t>
    </r>
    <r>
      <rPr>
        <sz val="10"/>
        <color rgb="FFFF0000"/>
        <rFont val="Arial"/>
      </rPr>
      <t xml:space="preserve"> = 1/405*</t>
    </r>
  </si>
  <si>
    <r>
      <rPr>
        <sz val="9"/>
        <color theme="1"/>
        <rFont val="Arial"/>
      </rPr>
      <t xml:space="preserve">ENC. / Almoxaridados/galpões </t>
    </r>
    <r>
      <rPr>
        <sz val="9"/>
        <color rgb="FFFF0000"/>
        <rFont val="Arial"/>
      </rPr>
      <t>= 1/(30**x 2000*)</t>
    </r>
  </si>
  <si>
    <r>
      <rPr>
        <sz val="9"/>
        <color theme="1"/>
        <rFont val="Arial"/>
      </rPr>
      <t xml:space="preserve">SERV./Almoxaridados/galpões </t>
    </r>
    <r>
      <rPr>
        <sz val="9"/>
        <color rgb="FFFF0000"/>
        <rFont val="Arial"/>
      </rPr>
      <t>= 1/2000*</t>
    </r>
  </si>
  <si>
    <r>
      <rPr>
        <sz val="10"/>
        <color theme="1"/>
        <rFont val="Arial"/>
      </rPr>
      <t xml:space="preserve">ENC. / Oficinas </t>
    </r>
    <r>
      <rPr>
        <sz val="10"/>
        <color rgb="FFFF0000"/>
        <rFont val="Arial"/>
      </rPr>
      <t>= 1/(30**x1500*)</t>
    </r>
  </si>
  <si>
    <r>
      <rPr>
        <sz val="10"/>
        <color theme="1"/>
        <rFont val="Arial"/>
      </rPr>
      <t xml:space="preserve">SERV. / Oficinas </t>
    </r>
    <r>
      <rPr>
        <sz val="10"/>
        <color rgb="FFFF0000"/>
        <rFont val="Arial"/>
      </rPr>
      <t>= 1/1500*</t>
    </r>
  </si>
  <si>
    <r>
      <rPr>
        <sz val="10"/>
        <color theme="1"/>
        <rFont val="Arial"/>
      </rPr>
      <t xml:space="preserve">ENC. / Áreas com espaços livres - saguão, hall e salão </t>
    </r>
    <r>
      <rPr>
        <sz val="10"/>
        <color rgb="FFFF0000"/>
        <rFont val="Arial"/>
      </rPr>
      <t>= 1/(30**x1250*)</t>
    </r>
  </si>
  <si>
    <r>
      <rPr>
        <sz val="10"/>
        <color theme="1"/>
        <rFont val="Arial"/>
      </rPr>
      <t xml:space="preserve">SERV. / Áreas com espaços livres - saguão, hall e salão </t>
    </r>
    <r>
      <rPr>
        <sz val="10"/>
        <color rgb="FFFF0000"/>
        <rFont val="Arial"/>
      </rPr>
      <t>= 1/1250*</t>
    </r>
  </si>
  <si>
    <r>
      <rPr>
        <b/>
        <sz val="10"/>
        <color theme="1"/>
        <rFont val="Arial"/>
      </rPr>
      <t xml:space="preserve">ENC. / Banheiros </t>
    </r>
    <r>
      <rPr>
        <sz val="10"/>
        <color rgb="FFFF0000"/>
        <rFont val="Arial"/>
      </rPr>
      <t>= 1(30**x250*)</t>
    </r>
  </si>
  <si>
    <r>
      <rPr>
        <b/>
        <sz val="10"/>
        <color theme="1"/>
        <rFont val="Arial"/>
      </rPr>
      <t xml:space="preserve">SERV. / Banheiros </t>
    </r>
    <r>
      <rPr>
        <sz val="10"/>
        <color rgb="FFFF0000"/>
        <rFont val="Arial"/>
      </rPr>
      <t>= 1/250*</t>
    </r>
  </si>
  <si>
    <r>
      <rPr>
        <b/>
        <sz val="10"/>
        <color theme="1"/>
        <rFont val="Arial"/>
      </rPr>
      <t xml:space="preserve">ÁREA EXTERNA (Fórmulas exemplificativas de cálculo para área externa - alíneas "a", "c" , "d" e "e" do subitem 3.2 do Anexo VI-B; para as demais alíneas, deverão ser incluídos novos campos na planilha com a metragem adequada).
</t>
    </r>
    <r>
      <rPr>
        <b/>
        <sz val="14"/>
        <color rgb="FF0000FF"/>
        <rFont val="Arial"/>
      </rPr>
      <t>Excluir esta observação)</t>
    </r>
  </si>
  <si>
    <r>
      <rPr>
        <sz val="10"/>
        <color theme="1"/>
        <rFont val="Arial"/>
      </rPr>
      <t xml:space="preserve">ENC. / Pisos pavimentados adjacentes/contíguos às edificações          </t>
    </r>
    <r>
      <rPr>
        <sz val="10"/>
        <color rgb="FFFF0000"/>
        <rFont val="Arial"/>
      </rPr>
      <t xml:space="preserve">   = 1/(30** x 2250*)</t>
    </r>
  </si>
  <si>
    <r>
      <rPr>
        <sz val="10"/>
        <color theme="1"/>
        <rFont val="Arial"/>
      </rPr>
      <t xml:space="preserve">SERV. / Pisos pavimentados adjacentes/contíguos às edificações            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</si>
  <si>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>ENC. / Varrição de passeios e arruamentos</t>
    </r>
    <r>
      <rPr>
        <sz val="10"/>
        <color rgb="FFFF0000"/>
        <rFont val="Arial"/>
      </rPr>
      <t xml:space="preserve">  = 1/(30** x 7500*)</t>
    </r>
  </si>
  <si>
    <r>
      <rPr>
        <sz val="10"/>
        <color theme="1"/>
        <rFont val="Arial"/>
      </rPr>
      <t xml:space="preserve">SERV. / Varrição de passeios e arruamentos </t>
    </r>
    <r>
      <rPr>
        <sz val="10"/>
        <color rgb="FFFF0000"/>
        <rFont val="Arial"/>
      </rPr>
      <t>= 1/7500*</t>
    </r>
  </si>
  <si>
    <r>
      <rPr>
        <sz val="10"/>
        <color theme="1"/>
        <rFont val="Arial"/>
      </rPr>
      <t xml:space="preserve">ENC. / pátios e áreas verdes com alta frequência </t>
    </r>
    <r>
      <rPr>
        <sz val="10"/>
        <color rgb="FFFF0000"/>
        <rFont val="Arial"/>
      </rPr>
      <t>= 1/(30** x 2250*)</t>
    </r>
  </si>
  <si>
    <r>
      <rPr>
        <sz val="10"/>
        <color theme="1"/>
        <rFont val="Arial"/>
      </rPr>
      <t xml:space="preserve">SERV. / Pátios e áreas verdes com alta frequência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</si>
  <si>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 xml:space="preserve">Enc. / Pátios e áreas verdes com média frequência </t>
    </r>
    <r>
      <rPr>
        <sz val="10"/>
        <color rgb="FFFF0000"/>
        <rFont val="Arial"/>
      </rPr>
      <t>= 1/(30** x 2250*)</t>
    </r>
  </si>
  <si>
    <r>
      <rPr>
        <sz val="10"/>
        <color theme="1"/>
        <rFont val="Arial"/>
      </rPr>
      <t xml:space="preserve">SERV. / Pátios e áreas verdes com média frequência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</si>
  <si>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 xml:space="preserve">ENC. / Pátios e áreas verdes com baixa frequência </t>
    </r>
    <r>
      <rPr>
        <sz val="10"/>
        <color rgb="FFFF0000"/>
        <rFont val="Arial"/>
      </rPr>
      <t>= 1/(30** x 2250*)</t>
    </r>
  </si>
  <si>
    <r>
      <rPr>
        <sz val="10"/>
        <color theme="1"/>
        <rFont val="Arial"/>
      </rPr>
      <t xml:space="preserve">SERV. / Pátios e áreas verdes com baixa frequência </t>
    </r>
    <r>
      <rPr>
        <sz val="10"/>
        <color rgb="FFFF0000"/>
        <rFont val="Arial"/>
      </rPr>
      <t>= 1/2250*</t>
    </r>
  </si>
  <si>
    <r>
      <rPr>
        <sz val="10"/>
        <color theme="1"/>
        <rFont val="Arial"/>
      </rPr>
      <t xml:space="preserve">ENC. / Coleta de detritos em pátio e áreas verdes com frequência diária </t>
    </r>
    <r>
      <rPr>
        <sz val="10"/>
        <color rgb="FFFF0000"/>
        <rFont val="Arial"/>
      </rPr>
      <t>= 1/(30** x 100000*)</t>
    </r>
  </si>
  <si>
    <r>
      <rPr>
        <sz val="10"/>
        <color theme="1"/>
        <rFont val="Arial"/>
      </rPr>
      <t xml:space="preserve">SERV. / Coleta de detritos em pátios e áreas verdes com frequência diária </t>
    </r>
    <r>
      <rPr>
        <sz val="10"/>
        <color rgb="FFFF0000"/>
        <rFont val="Arial"/>
      </rPr>
      <t>= 1/100000*</t>
    </r>
  </si>
  <si>
    <r>
      <rPr>
        <b/>
        <sz val="10"/>
        <color theme="1"/>
        <rFont val="Arial"/>
      </rPr>
      <t xml:space="preserve">ESQUADRIA EXTERNA (Fórmulas exemplificativas de cálculo para esquadria externa - alíneas "b" e "c" do subitem 3.3 do Anexo VI-B; para as demais alíneas, deverão ser incluídos novos campos na planilha com a metragem adequada).
</t>
    </r>
    <r>
      <rPr>
        <b/>
        <sz val="14"/>
        <color rgb="FF0000FF"/>
        <rFont val="Arial"/>
      </rPr>
      <t>Excluir esta observação)</t>
    </r>
  </si>
  <si>
    <r>
      <rPr>
        <b/>
        <sz val="9"/>
        <color theme="1"/>
        <rFont val="Arial"/>
      </rPr>
      <t xml:space="preserve">MÃO DE OBRA 
       </t>
    </r>
    <r>
      <rPr>
        <b/>
        <sz val="8"/>
        <color rgb="FF000000"/>
        <rFont val="Arial"/>
      </rPr>
      <t>ENCARREGADO / SERVENTE</t>
    </r>
  </si>
  <si>
    <r>
      <rPr>
        <sz val="10"/>
        <color theme="1"/>
        <rFont val="Arial"/>
      </rPr>
      <t xml:space="preserve">ENC. / Face interna               </t>
    </r>
    <r>
      <rPr>
        <sz val="10"/>
        <color rgb="FFFF0000"/>
        <rFont val="Arial"/>
      </rPr>
      <t>= 1/(30**x340)</t>
    </r>
  </si>
  <si>
    <r>
      <rPr>
        <sz val="10"/>
        <color theme="1"/>
        <rFont val="Arial"/>
      </rPr>
      <t xml:space="preserve">SERV. / Face interna </t>
    </r>
    <r>
      <rPr>
        <sz val="10"/>
        <color rgb="FFFF0000"/>
        <rFont val="Arial"/>
      </rPr>
      <t>= 1/340*</t>
    </r>
  </si>
  <si>
    <r>
      <rPr>
        <b/>
        <sz val="9"/>
        <color theme="1"/>
        <rFont val="Arial"/>
      </rPr>
      <t xml:space="preserve">MÃO DE OBRA 
       </t>
    </r>
    <r>
      <rPr>
        <b/>
        <sz val="8"/>
        <color rgb="FF000000"/>
        <rFont val="Arial"/>
      </rPr>
      <t>ENCARREGADO / SERVENTE</t>
    </r>
  </si>
  <si>
    <r>
      <rPr>
        <sz val="10"/>
        <color theme="1"/>
        <rFont val="Arial"/>
      </rPr>
      <t>Encarregado</t>
    </r>
    <r>
      <rPr>
        <sz val="10"/>
        <color rgb="FFFF0000"/>
        <rFont val="Arial"/>
      </rPr>
      <t xml:space="preserve">      = 1/(4**x145*)</t>
    </r>
  </si>
  <si>
    <r>
      <rPr>
        <sz val="10"/>
        <color theme="1"/>
        <rFont val="Arial"/>
      </rPr>
      <t xml:space="preserve">Servente </t>
    </r>
    <r>
      <rPr>
        <sz val="10"/>
        <color rgb="FFFF0000"/>
        <rFont val="Arial"/>
      </rPr>
      <t>= 1/145*</t>
    </r>
  </si>
  <si>
    <r>
      <rPr>
        <sz val="10"/>
        <color theme="1"/>
        <rFont val="Arial"/>
      </rPr>
      <t xml:space="preserve">Encarregado </t>
    </r>
    <r>
      <rPr>
        <sz val="10"/>
        <color rgb="FFFF0000"/>
        <rFont val="Arial"/>
      </rPr>
      <t>= 1(30** x 405*)</t>
    </r>
  </si>
  <si>
    <r>
      <rPr>
        <sz val="10"/>
        <color theme="1"/>
        <rFont val="Arial"/>
      </rPr>
      <t xml:space="preserve">Servente </t>
    </r>
    <r>
      <rPr>
        <sz val="10"/>
        <color rgb="FFFF0000"/>
        <rFont val="Arial"/>
      </rPr>
      <t>= 1/405*</t>
    </r>
  </si>
  <si>
    <r>
      <rPr>
        <sz val="9"/>
        <color theme="1"/>
        <rFont val="Arial"/>
      </rP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</t>
    </r>
    <r>
      <rPr>
        <sz val="14"/>
        <color rgb="FFFF0000"/>
        <rFont val="Arial"/>
      </rPr>
      <t xml:space="preserve">(notas que devem ser retiradas da planilha) </t>
    </r>
  </si>
  <si>
    <t>e) Áreas internas - Oficinas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</si>
  <si>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</si>
  <si>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b/>
        <sz val="10"/>
        <color theme="1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6.5.4."e" do edital)</t>
    </r>
  </si>
  <si>
    <r>
      <rPr>
        <b/>
        <sz val="10"/>
        <color theme="1"/>
        <rFont val="Arial"/>
      </rPr>
      <t xml:space="preserve"> MATERIAIS, MÁQUINAS E EQUIPAMENTOS ALOCADOS NA EXECUÇÃO CONTRATUAL  (item 6.2.f do Anexo VII da IN nº 5/2017 </t>
    </r>
    <r>
      <rPr>
        <b/>
        <sz val="10"/>
        <color rgb="FFFF0000"/>
        <rFont val="Arial"/>
      </rPr>
      <t xml:space="preserve"> e item 6.5.4.f do edital)</t>
    </r>
  </si>
  <si>
    <t>LIMPEZA - Regime de Tributação: SIMPLES NACIONAL</t>
  </si>
  <si>
    <t xml:space="preserve">ANEXO   – 40% de Insalubridade
MODELO DE PLANILHA DE CUSTOS E FORMAÇÃO DE PREÇOS  </t>
  </si>
  <si>
    <t>Auxiliar de serviços gerais</t>
  </si>
  <si>
    <t>Prestação de serviços de limpeza para o IFRS - Campus Porto Alegre</t>
  </si>
  <si>
    <t>Nº do processo:</t>
  </si>
  <si>
    <t>Licitação nº:</t>
  </si>
  <si>
    <t>Pregão nº 17/2021</t>
  </si>
  <si>
    <t>Porto Alegre/RS</t>
  </si>
  <si>
    <t xml:space="preserve">Quantidade total a contratar (Em função da unidade de medida) </t>
  </si>
  <si>
    <t>a) Banheiros - Insalubridade de 40%</t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</si>
  <si>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</si>
  <si>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t>Auxiliar de Serviços Gerais</t>
  </si>
  <si>
    <t>01 Janeiro de 2021</t>
  </si>
  <si>
    <r>
      <rPr>
        <b/>
        <sz val="10"/>
        <color theme="1"/>
        <rFont val="Arial"/>
      </rPr>
      <t xml:space="preserve">Salário-Base   </t>
    </r>
    <r>
      <rPr>
        <b/>
        <sz val="10"/>
        <color rgb="FFFF0000"/>
        <rFont val="Arial"/>
      </rPr>
      <t xml:space="preserve"> (valor para somente 1 Auxiliar de Serviços Gerais ) 
</t>
    </r>
    <r>
      <rPr>
        <b/>
        <sz val="10"/>
        <color theme="1"/>
        <rFont val="Arial"/>
      </rPr>
      <t xml:space="preserve">            </t>
    </r>
    <r>
      <rPr>
        <b/>
        <sz val="10"/>
        <color rgb="FF0000FF"/>
        <rFont val="Arial"/>
      </rPr>
      <t xml:space="preserve"> para a jornada de 44 horas semanais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Cálculo do valor: (44/6)x30xR$(SB/220)</t>
    </r>
  </si>
  <si>
    <r>
      <rPr>
        <b/>
        <sz val="10"/>
        <color theme="1"/>
        <rFont val="Arial"/>
      </rPr>
      <t xml:space="preserve">Adicional de Periculosidade </t>
    </r>
    <r>
      <rPr>
        <b/>
        <sz val="10"/>
        <color rgb="FF0000FF"/>
        <rFont val="Arial"/>
      </rPr>
      <t>(excluir esta linha, como regra)</t>
    </r>
  </si>
  <si>
    <r>
      <rPr>
        <b/>
        <sz val="10"/>
        <color theme="1"/>
        <rFont val="Arial"/>
      </rPr>
      <t xml:space="preserve">Adicional de Hora Extra no Feriado Trabalhado </t>
    </r>
    <r>
      <rPr>
        <b/>
        <sz val="10"/>
        <color rgb="FF0000FF"/>
        <rFont val="Arial"/>
      </rPr>
      <t>(excluir esta linha, como regra)</t>
    </r>
  </si>
  <si>
    <t>Adicional por função de Encarregado ( 10% do SB)</t>
  </si>
  <si>
    <t>Submódulo 2.1 – 13º (décimo terceiro) Salário e Adicional de Férias</t>
  </si>
  <si>
    <r>
      <rPr>
        <b/>
        <sz val="10"/>
        <color theme="1"/>
        <rFont val="Arial"/>
      </rPr>
      <t xml:space="preserve">13º (décimo terceiro) Salário                 </t>
    </r>
    <r>
      <rPr>
        <b/>
        <sz val="10"/>
        <color rgb="FFFF0000"/>
        <rFont val="Arial"/>
      </rPr>
      <t xml:space="preserve">Cálculo do valor = Rem/12   </t>
    </r>
    <r>
      <rPr>
        <b/>
        <sz val="10"/>
        <color theme="1"/>
        <rFont val="Arial"/>
      </rPr>
      <t xml:space="preserve">  </t>
    </r>
  </si>
  <si>
    <r>
      <rPr>
        <b/>
        <sz val="10"/>
        <color theme="1"/>
        <rFont val="Arial"/>
      </rPr>
      <t xml:space="preserve">Férias e Adicional de Férias  </t>
    </r>
    <r>
      <rPr>
        <b/>
        <sz val="10"/>
        <color rgb="FFFF0000"/>
        <rFont val="Arial"/>
      </rPr>
      <t>Cálculo do valor = [(Rem/3)/12]</t>
    </r>
  </si>
  <si>
    <r>
      <rPr>
        <b/>
        <sz val="10"/>
        <color theme="1"/>
        <rFont val="Arial"/>
      </rPr>
      <t xml:space="preserve">Salário Educação </t>
    </r>
    <r>
      <rPr>
        <b/>
        <sz val="9"/>
        <color theme="1"/>
        <rFont val="Arial"/>
      </rPr>
      <t>(Optante SIMPLES NACIONAL)</t>
    </r>
  </si>
  <si>
    <t>RAT x FAP (Optante SIMPLES NACIONAL)</t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</si>
  <si>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3 (???)</t>
    </r>
    <r>
      <rPr>
        <sz val="9"/>
        <color theme="1"/>
        <rFont val="Arial"/>
      </rPr>
      <t>, o Módulo 4 e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6 (???)</t>
    </r>
    <r>
      <rPr>
        <sz val="9"/>
        <color rgb="FF808000"/>
        <rFont val="Arial"/>
      </rPr>
      <t>.</t>
    </r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</si>
  <si>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FF0000"/>
        <rFont val="Arial"/>
      </rPr>
      <t xml:space="preserve"> Cálculo do valor: [(2xVTx22) – (6%xSB)]</t>
    </r>
  </si>
  <si>
    <r>
      <rPr>
        <b/>
        <sz val="10"/>
        <color theme="1"/>
        <rFont val="Arial"/>
      </rPr>
      <t xml:space="preserve">Auxílio-Refeição/Alimentação </t>
    </r>
    <r>
      <rPr>
        <b/>
        <sz val="10"/>
        <color rgb="FFFF0000"/>
        <rFont val="Arial"/>
      </rPr>
      <t>Cálculo do valor = [(22xVA)x(1-</t>
    </r>
    <r>
      <rPr>
        <b/>
        <sz val="10"/>
        <color rgb="FF0000FF"/>
        <rFont val="Arial"/>
      </rPr>
      <t>0,19</t>
    </r>
    <r>
      <rPr>
        <b/>
        <sz val="10"/>
        <color rgb="FFFF0000"/>
        <rFont val="Arial"/>
      </rPr>
      <t>)]</t>
    </r>
  </si>
  <si>
    <r>
      <rPr>
        <b/>
        <sz val="10"/>
        <color theme="1"/>
        <rFont val="Arial"/>
      </rPr>
      <t xml:space="preserve">Seguro contra riscos de acidente de trabalho </t>
    </r>
    <r>
      <rPr>
        <b/>
        <sz val="10"/>
        <color rgb="FFFF0000"/>
        <rFont val="Arial"/>
      </rPr>
      <t>Cálculo do valor = R$ 7.000,00x0,1068%</t>
    </r>
    <r>
      <rPr>
        <b/>
        <sz val="10"/>
        <color theme="1"/>
        <rFont val="Arial"/>
      </rPr>
      <t xml:space="preserve"> </t>
    </r>
    <r>
      <rPr>
        <b/>
        <sz val="10"/>
        <color rgb="FF0000FF"/>
        <rFont val="Arial"/>
      </rPr>
      <t>Como não tem mais essa exigência na CCT não pode descontar do empregado</t>
    </r>
  </si>
  <si>
    <r>
      <rPr>
        <b/>
        <sz val="10"/>
        <color theme="1"/>
        <rFont val="Arial"/>
      </rPr>
      <t xml:space="preserve">Plano de Benefício Social Familiar (cláusula 24 da CCT 2017)  </t>
    </r>
    <r>
      <rPr>
        <b/>
        <sz val="10"/>
        <color rgb="FFFF0000"/>
        <rFont val="Arial"/>
      </rPr>
      <t xml:space="preserve">Cálculo do valor = R$ 10,06 </t>
    </r>
    <r>
      <rPr>
        <b/>
        <sz val="10"/>
        <color rgb="FF0000FF"/>
        <rFont val="Arial"/>
      </rPr>
      <t>Sem participação do empregado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</si>
  <si>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</si>
  <si>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Multa do FGTS e contribuição social sobre o Aviso Prévio Indenizado                                             </t>
    </r>
    <r>
      <rPr>
        <b/>
        <sz val="10"/>
        <color rgb="FFFF0000"/>
        <rFont val="Arial"/>
      </rPr>
      <t>Cálculo do valor = [50%x8%x(Rem+13º+Férias+1/3xFérias)]x5% de rotatividade</t>
    </r>
  </si>
  <si>
    <r>
      <rPr>
        <b/>
        <sz val="10"/>
        <color theme="1"/>
        <rFont val="Arial"/>
      </rPr>
      <t xml:space="preserve">Aviso Prévio Trabalhado                 (negociar extinção/redução na 1ª prorrogação)
</t>
    </r>
    <r>
      <rPr>
        <b/>
        <sz val="10"/>
        <color rgb="FFFF0000"/>
        <rFont val="Arial"/>
      </rPr>
      <t>Cálculo do valor= [(Rem/30)x7]/12 meses do contratox100% dos empregados - ao final do contrato</t>
    </r>
  </si>
  <si>
    <r>
      <rPr>
        <b/>
        <sz val="10"/>
        <color theme="1"/>
        <rFont val="Arial"/>
      </rPr>
      <t xml:space="preserve">Multa do FGTS e contribuição social  sobre o Aviso Prévio Trabalhado                                            </t>
    </r>
    <r>
      <rPr>
        <b/>
        <sz val="10"/>
        <color rgb="FFFF0000"/>
        <rFont val="Arial"/>
      </rPr>
      <t>Cálculo do valor = [50%x8%x(Rem+13º+Férias+1/3xFérias)]x90% dos empregados</t>
    </r>
  </si>
  <si>
    <r>
      <rPr>
        <b/>
        <sz val="11"/>
        <color rgb="FF0000FF"/>
        <rFont val="Arial"/>
      </rPr>
      <t xml:space="preserve">Base de cálculo para o Custo de Reposição do Profissional Ausente (substituto): BCCPA = Rem + 13º + Férias + 1/3Férias
</t>
    </r>
    <r>
      <rPr>
        <sz val="10"/>
        <color rgb="FF0000FF"/>
        <rFont val="Arial"/>
      </rPr>
      <t>Conforme item 89 do Relatório do Acórdão TCU n 1.753/2008 do Plenário</t>
    </r>
  </si>
  <si>
    <r>
      <rPr>
        <b/>
        <sz val="10"/>
        <color theme="1"/>
        <rFont val="Arial"/>
      </rPr>
      <t xml:space="preserve">Férias                                                                                        </t>
    </r>
    <r>
      <rPr>
        <b/>
        <sz val="10"/>
        <color rgb="FFFF0000"/>
        <rFont val="Arial"/>
      </rPr>
      <t xml:space="preserve"> Cálculo do valor = 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/12</t>
    </r>
  </si>
  <si>
    <r>
      <rPr>
        <b/>
        <sz val="10"/>
        <color theme="1"/>
        <rFont val="Arial"/>
      </rPr>
      <t xml:space="preserve">Ausências Legais                                             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</si>
  <si>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Licença-Paternidade        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</si>
  <si>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Ausência por acidente de trabalho           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</si>
  <si>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Afastamento Maternidade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</si>
  <si>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rgb="FF000000"/>
        <rFont val="Arial"/>
      </rPr>
      <t xml:space="preserve">(Outros)   Ausência por doença </t>
    </r>
    <r>
      <rPr>
        <b/>
        <sz val="10"/>
        <color rgb="FF0000FF"/>
        <rFont val="Arial"/>
      </rPr>
      <t>(incluído)</t>
    </r>
    <r>
      <rPr>
        <b/>
        <sz val="10"/>
        <color rgb="FF000000"/>
        <rFont val="Arial"/>
      </rPr>
      <t xml:space="preserve">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)/30)x5dias]/12</t>
    </r>
  </si>
  <si>
    <t>Incidência dos encargos do Submódulo 2.2 sobre o  total do Submódulo 4.1</t>
  </si>
  <si>
    <r>
      <rPr>
        <b/>
        <sz val="10"/>
        <color theme="1"/>
        <rFont val="Arial"/>
      </rPr>
      <t xml:space="preserve">a) Cofins </t>
    </r>
    <r>
      <rPr>
        <sz val="10"/>
        <color theme="1"/>
        <rFont val="Arial"/>
      </rPr>
      <t xml:space="preserve"> </t>
    </r>
    <r>
      <rPr>
        <sz val="10"/>
        <color rgb="FFFF0000"/>
        <rFont val="Arial"/>
      </rPr>
      <t>(depende do regime de tributação - utilizada a hipótese do SIMPLES - anexo IV)</t>
    </r>
  </si>
  <si>
    <r>
      <rPr>
        <b/>
        <sz val="10"/>
        <color theme="1"/>
        <rFont val="Arial"/>
      </rPr>
      <t>b) PIS</t>
    </r>
    <r>
      <rPr>
        <sz val="10"/>
        <color rgb="FFFF0000"/>
        <rFont val="Arial"/>
      </rPr>
      <t xml:space="preserve"> (depende do regime de tributação - utilizada a hipótese do SIMPLES - anexo IV)</t>
    </r>
  </si>
  <si>
    <r>
      <rPr>
        <b/>
        <sz val="10"/>
        <color theme="1"/>
        <rFont val="Arial"/>
      </rPr>
      <t xml:space="preserve"> c) IRPJ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</si>
  <si>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d) CSLL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</si>
  <si>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 a) ISS             </t>
    </r>
    <r>
      <rPr>
        <sz val="10"/>
        <color rgb="FFFF0000"/>
        <rFont val="Arial"/>
      </rPr>
      <t xml:space="preserve"> </t>
    </r>
  </si>
  <si>
    <t>ENC. / Banheiros = 1(30**x250*)</t>
  </si>
  <si>
    <t>SERV. / Banheiros = 1/250*</t>
  </si>
  <si>
    <t xml:space="preserve">4. VALOR MENSAL DOS SERVIÇOS </t>
  </si>
  <si>
    <t>c) Áreas Banheiros</t>
  </si>
  <si>
    <t>TOTAL DA ÁREA DE BANHEIROS</t>
  </si>
  <si>
    <t xml:space="preserve">Valor mensal do serviço por empregado </t>
  </si>
  <si>
    <t xml:space="preserve">Valor mensal do serviço 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</si>
  <si>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quantidade de pessoal x nº de meses do contrato)</t>
    </r>
  </si>
  <si>
    <t xml:space="preserve"> MATERIAIS, MÁQUINAS E EQUIPAMENTOS ALOCADOS NA EXECUÇÃO CONTRATUAL Já previstos na aba de planilha aba geral. Esta planilha prevê apenas uniformes, conforme descrição prevista no ANEXO de execução de Porto Alegre/RS.</t>
  </si>
  <si>
    <t xml:space="preserve">ANEXO ----  – 40% de Insalubridade
MODELO DE PLANILHA DE CUSTOS E FORMAÇÃO DE PREÇOS  </t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</si>
  <si>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</si>
  <si>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r>
      <rPr>
        <b/>
        <sz val="10"/>
        <color theme="1"/>
        <rFont val="Arial"/>
      </rPr>
      <t xml:space="preserve">Salário-Base   </t>
    </r>
    <r>
      <rPr>
        <b/>
        <sz val="10"/>
        <color rgb="FFFF0000"/>
        <rFont val="Arial"/>
      </rPr>
      <t xml:space="preserve"> (valor para somente 1 servente de limpeza) 
</t>
    </r>
    <r>
      <rPr>
        <b/>
        <sz val="10"/>
        <color theme="1"/>
        <rFont val="Arial"/>
      </rPr>
      <t xml:space="preserve">            </t>
    </r>
    <r>
      <rPr>
        <b/>
        <sz val="10"/>
        <color rgb="FF0000FF"/>
        <rFont val="Arial"/>
      </rPr>
      <t xml:space="preserve"> para a jornada de 44 horas semanais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Cálculo do valor: (44/6)x30xR$(SB/220)</t>
    </r>
  </si>
  <si>
    <r>
      <rPr>
        <b/>
        <sz val="10"/>
        <color theme="1"/>
        <rFont val="Arial"/>
      </rPr>
      <t xml:space="preserve">Adicional de Periculosidade </t>
    </r>
    <r>
      <rPr>
        <b/>
        <sz val="10"/>
        <color rgb="FF0000FF"/>
        <rFont val="Arial"/>
      </rPr>
      <t>(excluir esta linha, como regra)</t>
    </r>
  </si>
  <si>
    <t>Adicional de Insalubridade (40% do SB - CCT SINDASSEIO/POA 2021)</t>
  </si>
  <si>
    <r>
      <rPr>
        <b/>
        <sz val="10"/>
        <color theme="1"/>
        <rFont val="Arial"/>
      </rPr>
      <t xml:space="preserve">Adicional de Hora Extra no Feriado Trabalhado </t>
    </r>
    <r>
      <rPr>
        <b/>
        <sz val="10"/>
        <color rgb="FF0000FF"/>
        <rFont val="Arial"/>
      </rPr>
      <t>(excluir esta linha, como regra)</t>
    </r>
  </si>
  <si>
    <r>
      <rPr>
        <b/>
        <sz val="10"/>
        <color theme="1"/>
        <rFont val="Arial"/>
      </rPr>
      <t xml:space="preserve">13º (décimo terceiro) Salário                 </t>
    </r>
    <r>
      <rPr>
        <b/>
        <sz val="10"/>
        <color rgb="FFFF0000"/>
        <rFont val="Arial"/>
      </rPr>
      <t xml:space="preserve">Cálculo do valor = Rem/12   </t>
    </r>
    <r>
      <rPr>
        <b/>
        <sz val="10"/>
        <color theme="1"/>
        <rFont val="Arial"/>
      </rPr>
      <t xml:space="preserve">  </t>
    </r>
  </si>
  <si>
    <r>
      <rPr>
        <b/>
        <sz val="10"/>
        <color theme="1"/>
        <rFont val="Arial"/>
      </rPr>
      <t xml:space="preserve">Férias e Adicional de Férias  </t>
    </r>
    <r>
      <rPr>
        <b/>
        <sz val="10"/>
        <color rgb="FFFF0000"/>
        <rFont val="Arial"/>
      </rPr>
      <t>Cálculo do valor = [(Rem/3)/12]</t>
    </r>
  </si>
  <si>
    <r>
      <rPr>
        <b/>
        <sz val="10"/>
        <color theme="1"/>
        <rFont val="Arial"/>
      </rPr>
      <t xml:space="preserve">Salário Educação </t>
    </r>
    <r>
      <rPr>
        <b/>
        <sz val="9"/>
        <color theme="1"/>
        <rFont val="Arial"/>
      </rPr>
      <t>(Optante SIMPLES NACIONAL)</t>
    </r>
  </si>
  <si>
    <r>
      <rPr>
        <sz val="9"/>
        <color theme="1"/>
        <rFont val="Arial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3 (???)</t>
    </r>
    <r>
      <rPr>
        <sz val="9"/>
        <color theme="1"/>
        <rFont val="Arial"/>
      </rPr>
      <t>, o Módulo 4 e o</t>
    </r>
    <r>
      <rPr>
        <sz val="9"/>
        <color rgb="FF808000"/>
        <rFont val="Arial"/>
      </rPr>
      <t xml:space="preserve"> </t>
    </r>
    <r>
      <rPr>
        <sz val="9"/>
        <color rgb="FFFF0000"/>
        <rFont val="Arial"/>
      </rPr>
      <t>Módulo 6 (???)</t>
    </r>
    <r>
      <rPr>
        <sz val="9"/>
        <color rgb="FF808000"/>
        <rFont val="Arial"/>
      </rPr>
      <t>.</t>
    </r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</si>
  <si>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FF0000"/>
        <rFont val="Arial"/>
      </rPr>
      <t xml:space="preserve"> Cálculo do valor: [(2xVTx22) – (6%xSB)]</t>
    </r>
  </si>
  <si>
    <r>
      <rPr>
        <b/>
        <sz val="10"/>
        <color theme="1"/>
        <rFont val="Arial"/>
      </rPr>
      <t xml:space="preserve">Auxílio-Refeição/Alimentação </t>
    </r>
    <r>
      <rPr>
        <b/>
        <sz val="10"/>
        <color rgb="FFFF0000"/>
        <rFont val="Arial"/>
      </rPr>
      <t>Cálculo do valor = [(22xVA)x(1-</t>
    </r>
    <r>
      <rPr>
        <b/>
        <sz val="10"/>
        <color rgb="FF0000FF"/>
        <rFont val="Arial"/>
      </rPr>
      <t>0,19</t>
    </r>
    <r>
      <rPr>
        <b/>
        <sz val="10"/>
        <color rgb="FFFF0000"/>
        <rFont val="Arial"/>
      </rPr>
      <t>)]</t>
    </r>
  </si>
  <si>
    <r>
      <rPr>
        <b/>
        <sz val="10"/>
        <color theme="1"/>
        <rFont val="Arial"/>
      </rPr>
      <t xml:space="preserve">Seguro contra riscos de acidente de trabalho </t>
    </r>
    <r>
      <rPr>
        <b/>
        <sz val="10"/>
        <color rgb="FFFF0000"/>
        <rFont val="Arial"/>
      </rPr>
      <t>Cálculo do valor = R$ 7.000,00x0,1068%</t>
    </r>
    <r>
      <rPr>
        <b/>
        <sz val="10"/>
        <color theme="1"/>
        <rFont val="Arial"/>
      </rPr>
      <t xml:space="preserve"> </t>
    </r>
    <r>
      <rPr>
        <b/>
        <sz val="10"/>
        <color rgb="FF0000FF"/>
        <rFont val="Arial"/>
      </rPr>
      <t>Como não tem mais essa exigência na CCT não pode descontar do empregado</t>
    </r>
  </si>
  <si>
    <r>
      <rPr>
        <b/>
        <sz val="10"/>
        <color theme="1"/>
        <rFont val="Arial"/>
      </rPr>
      <t xml:space="preserve">Plano de Benefício Social Familiar (cláusula 24 da CCT 2017)  </t>
    </r>
    <r>
      <rPr>
        <b/>
        <sz val="10"/>
        <color rgb="FFFF0000"/>
        <rFont val="Arial"/>
      </rPr>
      <t xml:space="preserve">Cálculo do valor = R$ 10,06 </t>
    </r>
    <r>
      <rPr>
        <b/>
        <sz val="10"/>
        <color rgb="FF0000FF"/>
        <rFont val="Arial"/>
      </rPr>
      <t>Sem participação do empregado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</si>
  <si>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</si>
  <si>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Multa do FGTS e contribuição social sobre o Aviso Prévio Indenizado                                             </t>
    </r>
    <r>
      <rPr>
        <b/>
        <sz val="10"/>
        <color rgb="FFFF0000"/>
        <rFont val="Arial"/>
      </rPr>
      <t>Cálculo do valor = [50%x8%x(Rem+13º+Férias+1/3xFérias)]x5% de rotatividade</t>
    </r>
  </si>
  <si>
    <r>
      <rPr>
        <b/>
        <sz val="10"/>
        <color theme="1"/>
        <rFont val="Arial"/>
      </rPr>
      <t xml:space="preserve">Aviso Prévio Trabalhado                 (negociar extinção/redução na 1ª prorrogação)
</t>
    </r>
    <r>
      <rPr>
        <b/>
        <sz val="10"/>
        <color rgb="FFFF0000"/>
        <rFont val="Arial"/>
      </rPr>
      <t>Cálculo do valor= [(Rem/30)x7]/12 meses do contratox100% dos empregados - ao final do contrato</t>
    </r>
  </si>
  <si>
    <r>
      <rPr>
        <b/>
        <sz val="10"/>
        <color theme="1"/>
        <rFont val="Arial"/>
      </rPr>
      <t xml:space="preserve">Multa do FGTS e contribuição social  sobre o Aviso Prévio Trabalhado                                            </t>
    </r>
    <r>
      <rPr>
        <b/>
        <sz val="10"/>
        <color rgb="FFFF0000"/>
        <rFont val="Arial"/>
      </rPr>
      <t>Cálculo do valor = [50%x8%x(Rem+13º+Férias+1/3xFérias)]x100% dos empregados</t>
    </r>
  </si>
  <si>
    <r>
      <rPr>
        <b/>
        <sz val="11"/>
        <color rgb="FF0000FF"/>
        <rFont val="Arial"/>
      </rPr>
      <t xml:space="preserve">Base de cálculo para o Custo de Reposição do Profissional Ausente (substituto): BCCPA = Rem + 13º + Férias + 1/3Férias
</t>
    </r>
    <r>
      <rPr>
        <sz val="10"/>
        <color rgb="FF0000FF"/>
        <rFont val="Arial"/>
      </rPr>
      <t>Conforme item 89 do Relatório do Acórdão TCU n 1.753/2008 do Plenário</t>
    </r>
  </si>
  <si>
    <r>
      <rPr>
        <b/>
        <sz val="10"/>
        <color theme="1"/>
        <rFont val="Arial"/>
      </rPr>
      <t xml:space="preserve">Férias                                                                                        </t>
    </r>
    <r>
      <rPr>
        <b/>
        <sz val="10"/>
        <color rgb="FFFF0000"/>
        <rFont val="Arial"/>
      </rPr>
      <t xml:space="preserve"> Cálculo do valor = 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/12</t>
    </r>
  </si>
  <si>
    <r>
      <rPr>
        <b/>
        <sz val="10"/>
        <color theme="1"/>
        <rFont val="Arial"/>
      </rPr>
      <t xml:space="preserve">Ausências Legais                                             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</si>
  <si>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Licença-Paternidade        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</si>
  <si>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Ausência por acidente de trabalho           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</si>
  <si>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Afastamento Maternidade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</si>
  <si>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rgb="FF000000"/>
        <rFont val="Arial"/>
      </rPr>
      <t xml:space="preserve">(Outros)   Ausência por doença </t>
    </r>
    <r>
      <rPr>
        <b/>
        <sz val="10"/>
        <color rgb="FF0000FF"/>
        <rFont val="Arial"/>
      </rPr>
      <t>(incluído)</t>
    </r>
    <r>
      <rPr>
        <b/>
        <sz val="10"/>
        <color rgb="FF000000"/>
        <rFont val="Arial"/>
      </rPr>
      <t xml:space="preserve">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)/30)x5dias]/12</t>
    </r>
  </si>
  <si>
    <r>
      <rPr>
        <b/>
        <sz val="10"/>
        <color theme="1"/>
        <rFont val="Arial"/>
      </rPr>
      <t xml:space="preserve">  a) Cofins  </t>
    </r>
    <r>
      <rPr>
        <sz val="10"/>
        <color rgb="FFFF0000"/>
        <rFont val="Arial"/>
      </rPr>
      <t>(depende do regime de tributação - utilizada a hipótese do SIMPLES - anexo IV)</t>
    </r>
  </si>
  <si>
    <r>
      <rPr>
        <b/>
        <sz val="10"/>
        <color theme="1"/>
        <rFont val="Arial"/>
      </rPr>
      <t xml:space="preserve">  b) PIS </t>
    </r>
    <r>
      <rPr>
        <sz val="10"/>
        <color rgb="FFFF0000"/>
        <rFont val="Arial"/>
      </rPr>
      <t>(depende do regime de tributação - utilizada a hipótese do SIMPLES - anexo IV)</t>
    </r>
  </si>
  <si>
    <r>
      <rPr>
        <b/>
        <sz val="10"/>
        <color theme="1"/>
        <rFont val="Arial"/>
      </rPr>
      <t xml:space="preserve"> c) IRPJ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</si>
  <si>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d) CSLL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</si>
  <si>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 a) ISS             </t>
    </r>
    <r>
      <rPr>
        <sz val="10"/>
        <color rgb="FFFF0000"/>
        <rFont val="Arial"/>
      </rPr>
      <t xml:space="preserve"> </t>
    </r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</si>
  <si>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</si>
  <si>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t>PREÇO ESTIMADO PARA SERVIÇOS EVENTUAIS</t>
  </si>
  <si>
    <t>Serviço eventual de limpeza, higienização e desinfecção dos reservatórios de água, com emissão de laudo bacteriológico</t>
  </si>
  <si>
    <t>UNIDADE</t>
  </si>
  <si>
    <t>SERVIÇO</t>
  </si>
  <si>
    <t>LOCAL DO SERVIÇO</t>
  </si>
  <si>
    <t>VOLUME (m³)</t>
  </si>
  <si>
    <t>QUANT.</t>
  </si>
  <si>
    <t>VALOR UNITÁRIO (R$)</t>
  </si>
  <si>
    <t>VALOR
TOTAL
(R$)</t>
  </si>
  <si>
    <t>IFRS Campus Porto Alegre</t>
  </si>
  <si>
    <r>
      <rPr>
        <sz val="9"/>
        <color rgb="FF000000"/>
        <rFont val="Arial"/>
      </rPr>
      <t xml:space="preserve">Serviços de limpeza, higienização e desinfecção dos reservatórios de </t>
    </r>
    <r>
      <rPr>
        <b/>
        <sz val="9"/>
        <color rgb="FF000000"/>
        <rFont val="Arial"/>
      </rPr>
      <t>água potável</t>
    </r>
  </si>
  <si>
    <t>Caixa de água</t>
  </si>
  <si>
    <t>5 m³</t>
  </si>
  <si>
    <t>10 m³</t>
  </si>
  <si>
    <t>30 m³</t>
  </si>
  <si>
    <r>
      <rPr>
        <sz val="9"/>
        <color rgb="FF000000"/>
        <rFont val="Arial"/>
      </rPr>
      <t xml:space="preserve">Serviços de limpeza, higienização e desinfecção dos reservatórios de </t>
    </r>
    <r>
      <rPr>
        <b/>
        <sz val="9"/>
        <color rgb="FF000000"/>
        <rFont val="Arial"/>
      </rPr>
      <t>reserva para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incêndio</t>
    </r>
  </si>
  <si>
    <t>15 m³</t>
  </si>
  <si>
    <t>TOTAL DO IFRS CAMPUS PORTO ALEGRE (ÁGUA POTÁVEL)</t>
  </si>
  <si>
    <t>TOTAL IFRS CAMPUS PORTO ALEGRE (RESERVA INCÊNDIO)</t>
  </si>
  <si>
    <t>Escritório de Projetos</t>
  </si>
  <si>
    <r>
      <rPr>
        <sz val="9"/>
        <color rgb="FF000000"/>
        <rFont val="Arial"/>
      </rPr>
      <t xml:space="preserve">Serviços de limpeza, higienização e desinfecção dos reservatórios de </t>
    </r>
    <r>
      <rPr>
        <b/>
        <sz val="9"/>
        <color rgb="FF000000"/>
        <rFont val="Arial"/>
      </rPr>
      <t>água potável</t>
    </r>
  </si>
  <si>
    <t>3,7 m³</t>
  </si>
  <si>
    <t>TOTAL DO ESCRITÓRIO DE PROJETOS (ÁGUA POTÁVEL)</t>
  </si>
  <si>
    <t>QUANTIDADE MÁXIMA ANUAL</t>
  </si>
  <si>
    <t>TOTAL ANUAL IFRS CAMPUS PORTO ALEGRE (ÁGUA POTÁVEL)</t>
  </si>
  <si>
    <t>TOTAL ANUAL IFRS CAMPUS PORTO ALEGRE (RESERVA INCÊNDIO)</t>
  </si>
  <si>
    <t>TOTAL ANUAL ESCRITÓRIO DE PROJETOS (ÁGUA POTÁVEL)</t>
  </si>
  <si>
    <t>Serviços Eventuais – Valores máximos -  Total anual</t>
  </si>
  <si>
    <t>Serviços Eventuais – Valores máximos -  Total 20 meses</t>
  </si>
  <si>
    <t>Secretaria de Educação Profissional e Tecnológica</t>
  </si>
  <si>
    <t>Anexo  -  Resumo da Proposta</t>
  </si>
  <si>
    <t>TIPO DE SERVIÇO</t>
  </si>
  <si>
    <t>Quantidade de Postos/Mão de Obra a ser alocados</t>
  </si>
  <si>
    <t>VALOR TOTAL POR MÊS (R$)</t>
  </si>
  <si>
    <t>VALOR TOTAL 20 MESES (R$)</t>
  </si>
  <si>
    <t>Serviços de Limpeza e Conservação, SEM banheiros. Postos com jornada de 44h semanais e 8h diárias de seg a sexta, e 4h no sábado.</t>
  </si>
  <si>
    <t>Serviços de Limpeza e Conservação, COM banheiros. Postos com jornada de 44h semanais e 8h diárias de seg a sexta, e 4h no sábado.</t>
  </si>
  <si>
    <t>Serviços de Limpeza e Conservação. Posto  de 01 encarregado com jornada de 44h semanais e 8h diárias de seg a sexta, e 4h no sábado.</t>
  </si>
  <si>
    <t>Serviços de Limpeza e Conservação. Posto de 02 Auxiliares de Serviços Gerais com jornada de 44h semanais e 8h diárias de seg a sexta, e 4h no sábado.</t>
  </si>
  <si>
    <t xml:space="preserve">Serviços Eventuais </t>
  </si>
  <si>
    <t>Declaro para devidos fins que:</t>
  </si>
  <si>
    <t>1. Estou CIENTE e de ACORDO com as condições previstas Projeto Básico.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</si>
  <si>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</si>
  <si>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2009.</t>
  </si>
  <si>
    <t>4. Que não possuo, em sua cadeia produtiva, empregados executando trabalho degradante ou forçado, observando o disposto nos incisos III e IV do art. 1º e no inciso III do art. 5º da Constituição Federal.</t>
  </si>
  <si>
    <t>5. Que para elaboração da presenta proposta foram considereados todos os custos diretos, indiretos, impostos, despesas de pessoa e insumos.</t>
  </si>
  <si>
    <t>6. Que a validade da presente proposta é de 60 dias.</t>
  </si>
  <si>
    <t xml:space="preserve">          Carimbo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</si>
</sst>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R$&quot;\ #,##0.00;[Red]\-&quot;R$&quot;\ #,##0.00"/>
    <numFmt numFmtId="164" formatCode="dd/mm/yy"/>
    <numFmt numFmtId="165" formatCode="&quot;R$&quot;\ #,##0.00"/>
    <numFmt numFmtId="166" formatCode="0.0%"/>
    <numFmt numFmtId="167" formatCode="#,##0.0"/>
    <numFmt numFmtId="168" formatCode="_(* #,##0.00_);_(* \(#,##0.00\);_(* \-??_);_(@_)"/>
    <numFmt numFmtId="169" formatCode="0.0"/>
    <numFmt numFmtId="170" formatCode="0.0000"/>
    <numFmt numFmtId="171" formatCode="0.0000%"/>
    <numFmt numFmtId="172" formatCode="&quot;R$ &quot;#,##0.00"/>
    <numFmt numFmtId="173" formatCode="#,##0.00;[Red]#,##0.00"/>
    <numFmt numFmtId="174" formatCode="#,##0.0000000"/>
    <numFmt numFmtId="175" formatCode="_ * #,##0_ ;_ * \-#,##0_ ;_ * &quot;-&quot;??_ ;_ @_ "/>
    <numFmt numFmtId="176" formatCode="[$R$-416]\ #,##0.00;[Red]\-[$R$-416]\ #,##0.00"/>
    <numFmt numFmtId="177" formatCode="[$R$ -416]#,##0.00"/>
    <numFmt numFmtId="178" formatCode="_-&quot;R$&quot;\ * #,##0.00_-;\-&quot;R$&quot;\ * #,##0.00_-;_-&quot;R$&quot;\ * &quot;-&quot;??_-;_-@"/>
  </numFmts>
  <fonts count="57" x14ac:knownFonts="1">
    <font>
      <sz val="11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1"/>
      <name val="Arial"/>
    </font>
    <font>
      <sz val="11"/>
      <color theme="1"/>
      <name val="Calibri"/>
    </font>
    <font>
      <sz val="10"/>
      <color rgb="FF000000"/>
      <name val="Arial"/>
    </font>
    <font>
      <sz val="15"/>
      <color theme="1"/>
      <name val="Arial"/>
    </font>
    <font>
      <sz val="9"/>
      <color theme="1"/>
      <name val="Arial"/>
    </font>
    <font>
      <sz val="10"/>
      <color rgb="FFFF0000"/>
      <name val="Arial"/>
    </font>
    <font>
      <b/>
      <sz val="14"/>
      <color rgb="FF000080"/>
      <name val="Arial"/>
    </font>
    <font>
      <b/>
      <sz val="10"/>
      <color rgb="FF000080"/>
      <name val="Arial"/>
    </font>
    <font>
      <b/>
      <sz val="15"/>
      <color rgb="FF000080"/>
      <name val="Arial"/>
    </font>
    <font>
      <b/>
      <sz val="10"/>
      <color rgb="FF0000FF"/>
      <name val="Arial"/>
    </font>
    <font>
      <sz val="12"/>
      <color theme="1"/>
      <name val="Arial"/>
    </font>
    <font>
      <b/>
      <sz val="12"/>
      <color rgb="FF0000FF"/>
      <name val="Arial"/>
    </font>
    <font>
      <b/>
      <sz val="12"/>
      <color theme="1"/>
      <name val="Arial"/>
    </font>
    <font>
      <b/>
      <sz val="14"/>
      <color theme="1"/>
      <name val="Arial"/>
    </font>
    <font>
      <b/>
      <sz val="15"/>
      <color rgb="FFFF0000"/>
      <name val="Arial"/>
    </font>
    <font>
      <sz val="14"/>
      <color theme="1"/>
      <name val="Arial"/>
    </font>
    <font>
      <b/>
      <sz val="14"/>
      <color rgb="FFFF0000"/>
      <name val="Arial"/>
    </font>
    <font>
      <b/>
      <sz val="18"/>
      <color rgb="FF800080"/>
      <name val="Arial"/>
    </font>
    <font>
      <b/>
      <sz val="18"/>
      <color theme="1"/>
      <name val="Arial"/>
    </font>
    <font>
      <b/>
      <sz val="11"/>
      <color theme="1"/>
      <name val="Arial"/>
    </font>
    <font>
      <b/>
      <sz val="15"/>
      <color theme="1"/>
      <name val="Arial"/>
    </font>
    <font>
      <b/>
      <sz val="11"/>
      <color rgb="FFFF0000"/>
      <name val="Arial"/>
    </font>
    <font>
      <b/>
      <sz val="10"/>
      <color rgb="FF008080"/>
      <name val="Arial"/>
    </font>
    <font>
      <b/>
      <sz val="9"/>
      <color rgb="FFFF0000"/>
      <name val="Arial"/>
    </font>
    <font>
      <b/>
      <strike/>
      <sz val="10"/>
      <color rgb="FF808000"/>
      <name val="Arial"/>
    </font>
    <font>
      <b/>
      <sz val="11"/>
      <color rgb="FF0000FF"/>
      <name val="Arial"/>
    </font>
    <font>
      <b/>
      <sz val="9"/>
      <color theme="1"/>
      <name val="Arial"/>
    </font>
    <font>
      <b/>
      <sz val="10"/>
      <color rgb="FF993366"/>
      <name val="Arial"/>
    </font>
    <font>
      <b/>
      <sz val="10"/>
      <color rgb="FFFF6600"/>
      <name val="Arial"/>
    </font>
    <font>
      <b/>
      <sz val="12"/>
      <color rgb="FFFFFFFF"/>
      <name val="Arial"/>
    </font>
    <font>
      <b/>
      <sz val="12"/>
      <color rgb="FF000000"/>
      <name val="Arial"/>
    </font>
    <font>
      <b/>
      <sz val="9"/>
      <color rgb="FF000000"/>
      <name val="Calibri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Calibri"/>
    </font>
    <font>
      <b/>
      <sz val="12"/>
      <color rgb="FF000000"/>
      <name val="Calibri"/>
    </font>
    <font>
      <b/>
      <sz val="11"/>
      <color theme="1"/>
      <name val="Calibri"/>
    </font>
    <font>
      <b/>
      <sz val="16"/>
      <color rgb="FF000000"/>
      <name val="Arial"/>
    </font>
    <font>
      <b/>
      <sz val="14"/>
      <color rgb="FF000000"/>
      <name val="Arial"/>
    </font>
    <font>
      <b/>
      <sz val="18"/>
      <color rgb="FF000000"/>
      <name val="Arial"/>
    </font>
    <font>
      <sz val="16"/>
      <color theme="1"/>
      <name val="Arial"/>
    </font>
    <font>
      <b/>
      <u/>
      <sz val="10"/>
      <color theme="1"/>
      <name val="Arial"/>
    </font>
    <font>
      <b/>
      <sz val="18"/>
      <color rgb="FFFF0000"/>
      <name val="Arial"/>
    </font>
    <font>
      <b/>
      <sz val="18"/>
      <color rgb="FF0000FF"/>
      <name val="Arial"/>
    </font>
    <font>
      <b/>
      <sz val="8"/>
      <color rgb="FFFF0000"/>
      <name val="Arial"/>
    </font>
    <font>
      <sz val="9"/>
      <color rgb="FF808000"/>
      <name val="Arial"/>
    </font>
    <font>
      <sz val="9"/>
      <color rgb="FFFF0000"/>
      <name val="Arial"/>
    </font>
    <font>
      <b/>
      <sz val="14"/>
      <color rgb="FF0000FF"/>
      <name val="Arial"/>
    </font>
    <font>
      <sz val="10"/>
      <color rgb="FF993366"/>
      <name val="Arial"/>
    </font>
    <font>
      <b/>
      <sz val="8"/>
      <color rgb="FF000000"/>
      <name val="Arial"/>
    </font>
    <font>
      <sz val="14"/>
      <color rgb="FFFF0000"/>
      <name val="Arial"/>
    </font>
    <font>
      <sz val="10"/>
      <color rgb="FF0000FF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999FF"/>
        <bgColor rgb="FF9999FF"/>
      </patternFill>
    </fill>
    <fill>
      <patternFill patternType="solid">
        <fgColor rgb="FFFFFF99"/>
        <bgColor rgb="FFFFFF99"/>
      </patternFill>
    </fill>
    <fill>
      <patternFill patternType="solid">
        <fgColor rgb="FF00FFFF"/>
        <bgColor rgb="FF00FFFF"/>
      </patternFill>
    </fill>
    <fill>
      <patternFill patternType="solid">
        <fgColor rgb="FFFFC000"/>
        <bgColor rgb="FFFFC000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DADADA"/>
        <bgColor rgb="FFDADADA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5" fontId="1" fillId="4" borderId="17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1" fillId="5" borderId="9" xfId="0" applyFont="1" applyFill="1" applyBorder="1" applyAlignment="1">
      <alignment horizontal="right" vertical="center"/>
    </xf>
    <xf numFmtId="167" fontId="1" fillId="4" borderId="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166" fontId="1" fillId="4" borderId="9" xfId="0" applyNumberFormat="1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center"/>
    </xf>
    <xf numFmtId="165" fontId="1" fillId="4" borderId="17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4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1" fillId="4" borderId="21" xfId="0" applyNumberFormat="1" applyFont="1" applyFill="1" applyBorder="1" applyAlignment="1">
      <alignment horizontal="center" vertical="center"/>
    </xf>
    <xf numFmtId="10" fontId="1" fillId="4" borderId="22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1" fillId="4" borderId="23" xfId="0" applyNumberFormat="1" applyFont="1" applyFill="1" applyBorder="1" applyAlignment="1">
      <alignment horizontal="center" vertical="center"/>
    </xf>
    <xf numFmtId="10" fontId="1" fillId="4" borderId="24" xfId="0" applyNumberFormat="1" applyFont="1" applyFill="1" applyBorder="1" applyAlignment="1">
      <alignment horizontal="center" vertical="center"/>
    </xf>
    <xf numFmtId="10" fontId="1" fillId="4" borderId="25" xfId="0" applyNumberFormat="1" applyFont="1" applyFill="1" applyBorder="1" applyAlignment="1">
      <alignment horizontal="center" vertical="center"/>
    </xf>
    <xf numFmtId="10" fontId="1" fillId="4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2" fillId="8" borderId="26" xfId="0" applyFont="1" applyFill="1" applyBorder="1" applyAlignment="1">
      <alignment horizontal="center" vertical="center" wrapText="1"/>
    </xf>
    <xf numFmtId="168" fontId="12" fillId="8" borderId="26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4" borderId="26" xfId="0" applyNumberFormat="1" applyFont="1" applyFill="1" applyBorder="1" applyAlignment="1">
      <alignment horizontal="right" vertical="center"/>
    </xf>
    <xf numFmtId="168" fontId="1" fillId="0" borderId="26" xfId="0" applyNumberFormat="1" applyFont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" fontId="1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68" fontId="3" fillId="8" borderId="2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8" fontId="12" fillId="0" borderId="0" xfId="0" applyNumberFormat="1" applyFont="1" applyAlignment="1">
      <alignment horizontal="right" vertical="center"/>
    </xf>
    <xf numFmtId="168" fontId="1" fillId="0" borderId="26" xfId="0" applyNumberFormat="1" applyFont="1" applyBorder="1" applyAlignment="1">
      <alignment horizontal="right" vertical="center"/>
    </xf>
    <xf numFmtId="0" fontId="7" fillId="7" borderId="26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168" fontId="3" fillId="8" borderId="26" xfId="0" applyNumberFormat="1" applyFont="1" applyFill="1" applyBorder="1" applyAlignment="1">
      <alignment horizontal="center" vertical="center" wrapText="1"/>
    </xf>
    <xf numFmtId="4" fontId="3" fillId="8" borderId="26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horizontal="right" vertical="center"/>
    </xf>
    <xf numFmtId="0" fontId="13" fillId="8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9" fontId="1" fillId="0" borderId="26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/>
    </xf>
    <xf numFmtId="4" fontId="3" fillId="8" borderId="26" xfId="0" applyNumberFormat="1" applyFont="1" applyFill="1" applyBorder="1" applyAlignment="1">
      <alignment horizontal="right" vertical="center"/>
    </xf>
    <xf numFmtId="0" fontId="13" fillId="8" borderId="26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168" fontId="1" fillId="0" borderId="0" xfId="0" applyNumberFormat="1" applyFont="1" applyAlignment="1">
      <alignment horizontal="right" vertical="center"/>
    </xf>
    <xf numFmtId="0" fontId="13" fillId="8" borderId="26" xfId="0" applyFont="1" applyFill="1" applyBorder="1" applyAlignment="1">
      <alignment horizontal="center" vertical="center"/>
    </xf>
    <xf numFmtId="4" fontId="1" fillId="0" borderId="26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0" fontId="14" fillId="8" borderId="26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167" fontId="15" fillId="9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7" fontId="19" fillId="2" borderId="26" xfId="0" applyNumberFormat="1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4" fontId="1" fillId="4" borderId="26" xfId="0" applyNumberFormat="1" applyFont="1" applyFill="1" applyBorder="1" applyAlignment="1">
      <alignment horizontal="right" vertical="center" wrapText="1"/>
    </xf>
    <xf numFmtId="4" fontId="4" fillId="9" borderId="2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/>
    </xf>
    <xf numFmtId="0" fontId="24" fillId="9" borderId="26" xfId="0" applyFont="1" applyFill="1" applyBorder="1" applyAlignment="1">
      <alignment horizontal="center" vertical="center" wrapText="1"/>
    </xf>
    <xf numFmtId="4" fontId="3" fillId="0" borderId="26" xfId="0" applyNumberFormat="1" applyFont="1" applyBorder="1" applyAlignment="1">
      <alignment vertical="center"/>
    </xf>
    <xf numFmtId="10" fontId="3" fillId="4" borderId="26" xfId="0" applyNumberFormat="1" applyFont="1" applyFill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4" fontId="24" fillId="9" borderId="26" xfId="0" applyNumberFormat="1" applyFont="1" applyFill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/>
    </xf>
    <xf numFmtId="4" fontId="3" fillId="0" borderId="26" xfId="0" applyNumberFormat="1" applyFont="1" applyBorder="1" applyAlignment="1">
      <alignment horizontal="right"/>
    </xf>
    <xf numFmtId="4" fontId="3" fillId="9" borderId="26" xfId="0" applyNumberFormat="1" applyFont="1" applyFill="1" applyBorder="1" applyAlignment="1">
      <alignment horizontal="right" vertical="center"/>
    </xf>
    <xf numFmtId="0" fontId="24" fillId="9" borderId="26" xfId="0" applyFont="1" applyFill="1" applyBorder="1" applyAlignment="1">
      <alignment horizontal="center" vertical="center"/>
    </xf>
    <xf numFmtId="10" fontId="3" fillId="0" borderId="26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 wrapText="1"/>
    </xf>
    <xf numFmtId="9" fontId="3" fillId="4" borderId="26" xfId="0" applyNumberFormat="1" applyFont="1" applyFill="1" applyBorder="1" applyAlignment="1">
      <alignment horizontal="left" vertical="center" wrapText="1"/>
    </xf>
    <xf numFmtId="170" fontId="3" fillId="4" borderId="26" xfId="0" applyNumberFormat="1" applyFont="1" applyFill="1" applyBorder="1" applyAlignment="1">
      <alignment horizontal="left" vertical="center" wrapText="1"/>
    </xf>
    <xf numFmtId="171" fontId="3" fillId="0" borderId="26" xfId="0" applyNumberFormat="1" applyFont="1" applyBorder="1" applyAlignment="1">
      <alignment horizontal="right" vertical="center"/>
    </xf>
    <xf numFmtId="171" fontId="3" fillId="9" borderId="26" xfId="0" applyNumberFormat="1" applyFont="1" applyFill="1" applyBorder="1" applyAlignment="1">
      <alignment horizontal="right" vertical="center"/>
    </xf>
    <xf numFmtId="172" fontId="28" fillId="4" borderId="26" xfId="0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4" fontId="28" fillId="4" borderId="26" xfId="0" applyNumberFormat="1" applyFont="1" applyFill="1" applyBorder="1" applyAlignment="1">
      <alignment vertical="center"/>
    </xf>
    <xf numFmtId="3" fontId="28" fillId="4" borderId="26" xfId="0" applyNumberFormat="1" applyFont="1" applyFill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166" fontId="28" fillId="4" borderId="26" xfId="0" applyNumberFormat="1" applyFont="1" applyFill="1" applyBorder="1" applyAlignment="1">
      <alignment vertical="center"/>
    </xf>
    <xf numFmtId="4" fontId="1" fillId="0" borderId="0" xfId="0" applyNumberFormat="1" applyFont="1"/>
    <xf numFmtId="4" fontId="3" fillId="0" borderId="26" xfId="0" applyNumberFormat="1" applyFont="1" applyBorder="1" applyAlignment="1">
      <alignment horizontal="right" vertical="center" wrapText="1"/>
    </xf>
    <xf numFmtId="4" fontId="3" fillId="4" borderId="2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2" fontId="3" fillId="9" borderId="26" xfId="0" applyNumberFormat="1" applyFont="1" applyFill="1" applyBorder="1" applyAlignment="1">
      <alignment horizontal="right" vertical="center" wrapText="1"/>
    </xf>
    <xf numFmtId="4" fontId="24" fillId="0" borderId="26" xfId="0" applyNumberFormat="1" applyFont="1" applyBorder="1" applyAlignment="1">
      <alignment horizontal="right" vertical="center" wrapText="1"/>
    </xf>
    <xf numFmtId="0" fontId="24" fillId="9" borderId="26" xfId="0" applyFont="1" applyFill="1" applyBorder="1" applyAlignment="1">
      <alignment horizontal="center"/>
    </xf>
    <xf numFmtId="4" fontId="3" fillId="0" borderId="26" xfId="0" applyNumberFormat="1" applyFont="1" applyBorder="1"/>
    <xf numFmtId="0" fontId="2" fillId="0" borderId="26" xfId="0" applyFont="1" applyBorder="1" applyAlignment="1">
      <alignment horizontal="center"/>
    </xf>
    <xf numFmtId="4" fontId="3" fillId="9" borderId="26" xfId="0" applyNumberFormat="1" applyFont="1" applyFill="1" applyBorder="1" applyAlignment="1">
      <alignment horizontal="right"/>
    </xf>
    <xf numFmtId="4" fontId="24" fillId="9" borderId="26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right" vertical="center"/>
    </xf>
    <xf numFmtId="4" fontId="3" fillId="9" borderId="26" xfId="0" applyNumberFormat="1" applyFont="1" applyFill="1" applyBorder="1" applyAlignment="1">
      <alignment horizontal="right" vertical="center" wrapText="1"/>
    </xf>
    <xf numFmtId="4" fontId="24" fillId="9" borderId="26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0" fontId="3" fillId="4" borderId="26" xfId="0" applyNumberFormat="1" applyFont="1" applyFill="1" applyBorder="1" applyAlignment="1">
      <alignment horizontal="right" vertical="center"/>
    </xf>
    <xf numFmtId="10" fontId="4" fillId="0" borderId="26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right"/>
    </xf>
    <xf numFmtId="10" fontId="3" fillId="0" borderId="4" xfId="0" applyNumberFormat="1" applyFont="1" applyBorder="1" applyAlignment="1">
      <alignment horizontal="center" vertical="center"/>
    </xf>
    <xf numFmtId="10" fontId="1" fillId="0" borderId="0" xfId="0" applyNumberFormat="1" applyFont="1"/>
    <xf numFmtId="10" fontId="3" fillId="4" borderId="26" xfId="0" applyNumberFormat="1" applyFont="1" applyFill="1" applyBorder="1" applyAlignment="1">
      <alignment horizontal="right" vertical="center" wrapText="1"/>
    </xf>
    <xf numFmtId="10" fontId="1" fillId="0" borderId="4" xfId="0" applyNumberFormat="1" applyFont="1" applyBorder="1" applyAlignment="1">
      <alignment vertical="center"/>
    </xf>
    <xf numFmtId="10" fontId="3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0" fontId="3" fillId="4" borderId="26" xfId="0" applyNumberFormat="1" applyFont="1" applyFill="1" applyBorder="1" applyAlignment="1">
      <alignment horizontal="right" vertical="center" wrapText="1"/>
    </xf>
    <xf numFmtId="10" fontId="4" fillId="0" borderId="26" xfId="0" applyNumberFormat="1" applyFont="1" applyBorder="1" applyAlignment="1">
      <alignment horizontal="right" vertical="center"/>
    </xf>
    <xf numFmtId="0" fontId="3" fillId="9" borderId="26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left" wrapText="1"/>
    </xf>
    <xf numFmtId="49" fontId="28" fillId="0" borderId="2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174" fontId="4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center"/>
    </xf>
    <xf numFmtId="4" fontId="4" fillId="9" borderId="26" xfId="0" applyNumberFormat="1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wrapText="1"/>
    </xf>
    <xf numFmtId="173" fontId="4" fillId="0" borderId="26" xfId="0" applyNumberFormat="1" applyFont="1" applyBorder="1" applyAlignment="1">
      <alignment horizontal="center" vertical="center"/>
    </xf>
    <xf numFmtId="174" fontId="4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1" fillId="0" borderId="26" xfId="0" applyFont="1" applyBorder="1"/>
    <xf numFmtId="38" fontId="4" fillId="0" borderId="26" xfId="0" applyNumberFormat="1" applyFont="1" applyBorder="1" applyAlignment="1">
      <alignment horizontal="center"/>
    </xf>
    <xf numFmtId="173" fontId="4" fillId="0" borderId="26" xfId="0" applyNumberFormat="1" applyFont="1" applyBorder="1" applyAlignment="1">
      <alignment horizontal="center"/>
    </xf>
    <xf numFmtId="174" fontId="4" fillId="0" borderId="26" xfId="0" applyNumberFormat="1" applyFont="1" applyBorder="1"/>
    <xf numFmtId="4" fontId="4" fillId="0" borderId="26" xfId="0" applyNumberFormat="1" applyFont="1" applyBorder="1"/>
    <xf numFmtId="4" fontId="4" fillId="0" borderId="2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center" wrapText="1"/>
    </xf>
    <xf numFmtId="39" fontId="3" fillId="0" borderId="26" xfId="0" applyNumberFormat="1" applyFont="1" applyBorder="1" applyAlignment="1">
      <alignment horizontal="right"/>
    </xf>
    <xf numFmtId="39" fontId="3" fillId="0" borderId="26" xfId="0" applyNumberFormat="1" applyFont="1" applyBorder="1" applyAlignment="1">
      <alignment horizontal="right" vertical="center"/>
    </xf>
    <xf numFmtId="39" fontId="4" fillId="9" borderId="26" xfId="0" applyNumberFormat="1" applyFont="1" applyFill="1" applyBorder="1" applyAlignment="1">
      <alignment horizontal="right"/>
    </xf>
    <xf numFmtId="39" fontId="4" fillId="9" borderId="26" xfId="0" applyNumberFormat="1" applyFont="1" applyFill="1" applyBorder="1" applyAlignment="1">
      <alignment horizontal="right" vertical="center"/>
    </xf>
    <xf numFmtId="39" fontId="4" fillId="0" borderId="26" xfId="0" applyNumberFormat="1" applyFont="1" applyBorder="1" applyAlignment="1">
      <alignment horizontal="right"/>
    </xf>
    <xf numFmtId="9" fontId="3" fillId="4" borderId="2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4" fontId="1" fillId="0" borderId="26" xfId="0" applyNumberFormat="1" applyFont="1" applyBorder="1" applyAlignment="1">
      <alignment horizontal="right" vertical="center" wrapText="1"/>
    </xf>
    <xf numFmtId="172" fontId="28" fillId="4" borderId="26" xfId="0" applyNumberFormat="1" applyFont="1" applyFill="1" applyBorder="1" applyAlignment="1">
      <alignment vertical="center"/>
    </xf>
    <xf numFmtId="166" fontId="4" fillId="4" borderId="26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wrapText="1"/>
    </xf>
    <xf numFmtId="4" fontId="6" fillId="0" borderId="0" xfId="0" applyNumberFormat="1" applyFont="1"/>
    <xf numFmtId="0" fontId="36" fillId="9" borderId="4" xfId="0" applyFont="1" applyFill="1" applyBorder="1" applyAlignment="1">
      <alignment horizontal="center" vertical="center"/>
    </xf>
    <xf numFmtId="4" fontId="36" fillId="9" borderId="4" xfId="0" applyNumberFormat="1" applyFont="1" applyFill="1" applyBorder="1" applyAlignment="1">
      <alignment horizontal="center" vertical="center" wrapText="1"/>
    </xf>
    <xf numFmtId="0" fontId="36" fillId="9" borderId="4" xfId="0" applyFont="1" applyFill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/>
    </xf>
    <xf numFmtId="4" fontId="38" fillId="14" borderId="44" xfId="0" applyNumberFormat="1" applyFont="1" applyFill="1" applyBorder="1" applyAlignment="1">
      <alignment horizontal="center" vertical="center"/>
    </xf>
    <xf numFmtId="176" fontId="39" fillId="0" borderId="8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center" vertical="center"/>
    </xf>
    <xf numFmtId="176" fontId="39" fillId="15" borderId="50" xfId="0" applyNumberFormat="1" applyFont="1" applyFill="1" applyBorder="1" applyAlignment="1">
      <alignment horizontal="center" vertical="center"/>
    </xf>
    <xf numFmtId="176" fontId="39" fillId="16" borderId="8" xfId="0" applyNumberFormat="1" applyFont="1" applyFill="1" applyBorder="1" applyAlignment="1">
      <alignment horizontal="center" vertical="center"/>
    </xf>
    <xf numFmtId="0" fontId="37" fillId="9" borderId="52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/>
    </xf>
    <xf numFmtId="4" fontId="38" fillId="14" borderId="52" xfId="0" applyNumberFormat="1" applyFont="1" applyFill="1" applyBorder="1" applyAlignment="1">
      <alignment horizontal="center" vertical="center"/>
    </xf>
    <xf numFmtId="0" fontId="38" fillId="15" borderId="50" xfId="0" applyFont="1" applyFill="1" applyBorder="1" applyAlignment="1">
      <alignment horizontal="center" vertical="center"/>
    </xf>
    <xf numFmtId="176" fontId="40" fillId="15" borderId="50" xfId="0" applyNumberFormat="1" applyFont="1" applyFill="1" applyBorder="1" applyAlignment="1">
      <alignment horizontal="center" vertical="center"/>
    </xf>
    <xf numFmtId="176" fontId="41" fillId="12" borderId="4" xfId="0" applyNumberFormat="1" applyFont="1" applyFill="1" applyBorder="1" applyAlignment="1">
      <alignment horizontal="center" vertical="center"/>
    </xf>
    <xf numFmtId="177" fontId="41" fillId="12" borderId="4" xfId="0" applyNumberFormat="1" applyFont="1" applyFill="1" applyBorder="1" applyAlignment="1">
      <alignment horizontal="center" vertical="center"/>
    </xf>
    <xf numFmtId="0" fontId="38" fillId="0" borderId="0" xfId="0" applyFont="1"/>
    <xf numFmtId="0" fontId="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35" fillId="0" borderId="0" xfId="0" applyFont="1"/>
    <xf numFmtId="49" fontId="2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17" fillId="17" borderId="53" xfId="0" applyFont="1" applyFill="1" applyBorder="1" applyAlignment="1">
      <alignment horizontal="center" vertical="center"/>
    </xf>
    <xf numFmtId="0" fontId="17" fillId="17" borderId="54" xfId="0" applyFont="1" applyFill="1" applyBorder="1" applyAlignment="1">
      <alignment horizontal="center" vertical="center" wrapText="1"/>
    </xf>
    <xf numFmtId="0" fontId="17" fillId="17" borderId="57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4" fontId="20" fillId="0" borderId="61" xfId="0" applyNumberFormat="1" applyFont="1" applyBorder="1" applyAlignment="1">
      <alignment vertical="center"/>
    </xf>
    <xf numFmtId="178" fontId="45" fillId="0" borderId="0" xfId="0" applyNumberFormat="1" applyFont="1"/>
    <xf numFmtId="4" fontId="20" fillId="0" borderId="4" xfId="0" applyNumberFormat="1" applyFont="1" applyBorder="1" applyAlignment="1">
      <alignment vertical="center"/>
    </xf>
    <xf numFmtId="4" fontId="20" fillId="0" borderId="62" xfId="0" applyNumberFormat="1" applyFont="1" applyBorder="1" applyAlignment="1">
      <alignment vertical="center"/>
    </xf>
    <xf numFmtId="0" fontId="15" fillId="0" borderId="58" xfId="0" applyFont="1" applyBorder="1" applyAlignment="1">
      <alignment horizontal="left" vertical="center" wrapText="1"/>
    </xf>
    <xf numFmtId="2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vertical="center"/>
    </xf>
    <xf numFmtId="0" fontId="17" fillId="2" borderId="63" xfId="0" applyFont="1" applyFill="1" applyBorder="1" applyAlignment="1">
      <alignment horizontal="right" vertical="center" wrapText="1"/>
    </xf>
    <xf numFmtId="4" fontId="18" fillId="2" borderId="4" xfId="0" applyNumberFormat="1" applyFont="1" applyFill="1" applyBorder="1" applyAlignment="1">
      <alignment vertical="center"/>
    </xf>
    <xf numFmtId="4" fontId="18" fillId="2" borderId="6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/>
    <xf numFmtId="0" fontId="17" fillId="0" borderId="0" xfId="0" applyFont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1" fillId="5" borderId="5" xfId="0" applyFont="1" applyFill="1" applyBorder="1" applyAlignment="1">
      <alignment horizontal="left" vertical="center"/>
    </xf>
    <xf numFmtId="0" fontId="5" fillId="0" borderId="7" xfId="0" applyFont="1" applyBorder="1"/>
    <xf numFmtId="0" fontId="1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3" fillId="5" borderId="5" xfId="0" applyFont="1" applyFill="1" applyBorder="1" applyAlignment="1">
      <alignment horizontal="center" vertical="center"/>
    </xf>
    <xf numFmtId="0" fontId="5" fillId="0" borderId="10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7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1" fillId="5" borderId="11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/>
    <xf numFmtId="10" fontId="8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4" fillId="5" borderId="5" xfId="0" applyFont="1" applyFill="1" applyBorder="1" applyAlignment="1">
      <alignment horizontal="left" vertical="center" wrapText="1"/>
    </xf>
    <xf numFmtId="4" fontId="3" fillId="8" borderId="27" xfId="0" applyNumberFormat="1" applyFont="1" applyFill="1" applyBorder="1" applyAlignment="1">
      <alignment horizontal="right" vertical="center"/>
    </xf>
    <xf numFmtId="0" fontId="5" fillId="0" borderId="29" xfId="0" applyFont="1" applyBorder="1"/>
    <xf numFmtId="168" fontId="3" fillId="8" borderId="27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4" fontId="1" fillId="0" borderId="27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8" borderId="27" xfId="0" applyFont="1" applyFill="1" applyBorder="1" applyAlignment="1">
      <alignment horizontal="right" vertical="center" wrapText="1"/>
    </xf>
    <xf numFmtId="0" fontId="13" fillId="8" borderId="27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2" fillId="8" borderId="27" xfId="0" applyNumberFormat="1" applyFont="1" applyFill="1" applyBorder="1" applyAlignment="1">
      <alignment horizontal="right" vertical="center"/>
    </xf>
    <xf numFmtId="168" fontId="14" fillId="8" borderId="27" xfId="0" applyNumberFormat="1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7" fillId="10" borderId="27" xfId="0" applyFont="1" applyFill="1" applyBorder="1" applyAlignment="1">
      <alignment horizontal="right" vertical="center"/>
    </xf>
    <xf numFmtId="0" fontId="19" fillId="10" borderId="2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2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7" fillId="2" borderId="27" xfId="0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9" borderId="1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left" vertical="center" wrapText="1"/>
    </xf>
    <xf numFmtId="14" fontId="4" fillId="4" borderId="27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right" vertical="center" wrapText="1"/>
    </xf>
    <xf numFmtId="4" fontId="4" fillId="9" borderId="27" xfId="0" applyNumberFormat="1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right" vertical="center" wrapText="1"/>
    </xf>
    <xf numFmtId="164" fontId="26" fillId="4" borderId="27" xfId="0" applyNumberFormat="1" applyFont="1" applyFill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24" fillId="9" borderId="2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right" vertical="center" wrapText="1"/>
    </xf>
    <xf numFmtId="0" fontId="1" fillId="7" borderId="27" xfId="0" applyFont="1" applyFill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9" borderId="27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4" fillId="9" borderId="27" xfId="0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3" fillId="9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left" vertical="center" wrapText="1"/>
    </xf>
    <xf numFmtId="39" fontId="26" fillId="4" borderId="27" xfId="0" applyNumberFormat="1" applyFont="1" applyFill="1" applyBorder="1" applyAlignment="1">
      <alignment horizontal="right" vertical="center" wrapText="1"/>
    </xf>
    <xf numFmtId="0" fontId="3" fillId="9" borderId="27" xfId="0" applyFont="1" applyFill="1" applyBorder="1" applyAlignment="1">
      <alignment horizontal="right" vertical="center"/>
    </xf>
    <xf numFmtId="0" fontId="24" fillId="9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wrapText="1"/>
    </xf>
    <xf numFmtId="4" fontId="3" fillId="0" borderId="27" xfId="0" applyNumberFormat="1" applyFont="1" applyBorder="1" applyAlignment="1">
      <alignment horizontal="right" vertical="center" wrapText="1"/>
    </xf>
    <xf numFmtId="0" fontId="31" fillId="0" borderId="27" xfId="0" applyFont="1" applyBorder="1" applyAlignment="1">
      <alignment horizontal="left" wrapText="1"/>
    </xf>
    <xf numFmtId="0" fontId="4" fillId="9" borderId="27" xfId="0" applyFont="1" applyFill="1" applyBorder="1" applyAlignment="1">
      <alignment horizontal="right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/>
    </xf>
    <xf numFmtId="0" fontId="4" fillId="0" borderId="27" xfId="0" applyFont="1" applyBorder="1" applyAlignment="1">
      <alignment horizontal="right" wrapText="1"/>
    </xf>
    <xf numFmtId="0" fontId="18" fillId="0" borderId="27" xfId="0" applyFont="1" applyBorder="1" applyAlignment="1">
      <alignment horizontal="left" vertical="center" wrapText="1"/>
    </xf>
    <xf numFmtId="4" fontId="21" fillId="0" borderId="27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center" vertical="center"/>
    </xf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28" fillId="0" borderId="27" xfId="0" applyFont="1" applyBorder="1" applyAlignment="1">
      <alignment horizontal="left" vertical="center"/>
    </xf>
    <xf numFmtId="49" fontId="17" fillId="0" borderId="27" xfId="0" applyNumberFormat="1" applyFont="1" applyBorder="1" applyAlignment="1">
      <alignment horizontal="left" vertical="center" wrapText="1"/>
    </xf>
    <xf numFmtId="49" fontId="3" fillId="9" borderId="2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49" fontId="3" fillId="9" borderId="27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right" vertical="center" wrapText="1"/>
    </xf>
    <xf numFmtId="0" fontId="17" fillId="9" borderId="27" xfId="0" applyFont="1" applyFill="1" applyBorder="1" applyAlignment="1">
      <alignment horizontal="left" vertical="center"/>
    </xf>
    <xf numFmtId="0" fontId="31" fillId="9" borderId="27" xfId="0" applyFont="1" applyFill="1" applyBorder="1" applyAlignment="1">
      <alignment horizontal="center" vertical="center" wrapText="1"/>
    </xf>
    <xf numFmtId="3" fontId="4" fillId="4" borderId="2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/>
    </xf>
    <xf numFmtId="0" fontId="31" fillId="2" borderId="27" xfId="0" applyFont="1" applyFill="1" applyBorder="1" applyAlignment="1">
      <alignment horizontal="center" vertical="center" wrapText="1"/>
    </xf>
    <xf numFmtId="173" fontId="4" fillId="0" borderId="27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/>
    </xf>
    <xf numFmtId="2" fontId="4" fillId="9" borderId="27" xfId="0" applyNumberFormat="1" applyFont="1" applyFill="1" applyBorder="1" applyAlignment="1">
      <alignment horizontal="right" vertical="center" wrapText="1"/>
    </xf>
    <xf numFmtId="3" fontId="4" fillId="4" borderId="2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right" vertical="center"/>
    </xf>
    <xf numFmtId="3" fontId="28" fillId="4" borderId="27" xfId="0" applyNumberFormat="1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left" vertical="center"/>
    </xf>
    <xf numFmtId="2" fontId="4" fillId="0" borderId="27" xfId="0" applyNumberFormat="1" applyFont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right" wrapText="1"/>
    </xf>
    <xf numFmtId="0" fontId="4" fillId="7" borderId="27" xfId="0" applyFont="1" applyFill="1" applyBorder="1" applyAlignment="1">
      <alignment horizontal="righ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18" fillId="7" borderId="27" xfId="0" applyFont="1" applyFill="1" applyBorder="1" applyAlignment="1">
      <alignment horizontal="left" vertical="center" wrapText="1"/>
    </xf>
    <xf numFmtId="8" fontId="26" fillId="4" borderId="27" xfId="0" applyNumberFormat="1" applyFont="1" applyFill="1" applyBorder="1" applyAlignment="1">
      <alignment horizontal="right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11" borderId="27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175" fontId="4" fillId="0" borderId="27" xfId="0" applyNumberFormat="1" applyFont="1" applyBorder="1" applyAlignment="1">
      <alignment horizontal="center" vertical="center" wrapText="1"/>
    </xf>
    <xf numFmtId="2" fontId="3" fillId="4" borderId="27" xfId="0" applyNumberFormat="1" applyFont="1" applyFill="1" applyBorder="1" applyAlignment="1">
      <alignment horizontal="righ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1" fillId="9" borderId="27" xfId="0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 wrapText="1"/>
    </xf>
    <xf numFmtId="0" fontId="37" fillId="15" borderId="47" xfId="0" applyFont="1" applyFill="1" applyBorder="1" applyAlignment="1">
      <alignment horizontal="center" vertical="center"/>
    </xf>
    <xf numFmtId="0" fontId="5" fillId="0" borderId="48" xfId="0" applyFont="1" applyBorder="1"/>
    <xf numFmtId="0" fontId="5" fillId="0" borderId="49" xfId="0" applyFont="1" applyBorder="1"/>
    <xf numFmtId="0" fontId="39" fillId="15" borderId="47" xfId="0" applyFont="1" applyFill="1" applyBorder="1" applyAlignment="1">
      <alignment horizontal="center" vertical="center"/>
    </xf>
    <xf numFmtId="0" fontId="35" fillId="12" borderId="5" xfId="0" applyFont="1" applyFill="1" applyBorder="1" applyAlignment="1">
      <alignment horizontal="center" vertical="center" wrapText="1"/>
    </xf>
    <xf numFmtId="0" fontId="34" fillId="12" borderId="5" xfId="0" applyFont="1" applyFill="1" applyBorder="1" applyAlignment="1">
      <alignment horizontal="center" vertical="center"/>
    </xf>
    <xf numFmtId="0" fontId="35" fillId="13" borderId="5" xfId="0" applyFont="1" applyFill="1" applyBorder="1" applyAlignment="1">
      <alignment horizontal="center" vertical="center" wrapText="1"/>
    </xf>
    <xf numFmtId="0" fontId="37" fillId="9" borderId="41" xfId="0" applyFont="1" applyFill="1" applyBorder="1" applyAlignment="1">
      <alignment horizontal="center" vertical="center" wrapText="1"/>
    </xf>
    <xf numFmtId="0" fontId="5" fillId="0" borderId="45" xfId="0" applyFont="1" applyBorder="1"/>
    <xf numFmtId="0" fontId="5" fillId="0" borderId="46" xfId="0" applyFont="1" applyBorder="1"/>
    <xf numFmtId="0" fontId="38" fillId="0" borderId="42" xfId="0" applyFont="1" applyBorder="1" applyAlignment="1">
      <alignment horizontal="left" vertical="center" wrapText="1"/>
    </xf>
    <xf numFmtId="0" fontId="5" fillId="0" borderId="42" xfId="0" applyFont="1" applyBorder="1"/>
    <xf numFmtId="0" fontId="5" fillId="0" borderId="43" xfId="0" applyFont="1" applyBorder="1"/>
    <xf numFmtId="0" fontId="39" fillId="0" borderId="42" xfId="0" applyFont="1" applyBorder="1" applyAlignment="1">
      <alignment horizontal="center" vertical="center"/>
    </xf>
    <xf numFmtId="0" fontId="37" fillId="16" borderId="43" xfId="0" applyFont="1" applyFill="1" applyBorder="1" applyAlignment="1">
      <alignment horizontal="center" vertical="center" wrapText="1"/>
    </xf>
    <xf numFmtId="0" fontId="5" fillId="0" borderId="51" xfId="0" applyFont="1" applyBorder="1"/>
    <xf numFmtId="0" fontId="44" fillId="0" borderId="0" xfId="0" applyFont="1" applyAlignment="1">
      <alignment horizontal="left" vertical="center"/>
    </xf>
    <xf numFmtId="0" fontId="17" fillId="17" borderId="55" xfId="0" applyFont="1" applyFill="1" applyBorder="1" applyAlignment="1">
      <alignment horizontal="center" vertical="center" wrapText="1"/>
    </xf>
    <xf numFmtId="0" fontId="5" fillId="0" borderId="56" xfId="0" applyFont="1" applyBorder="1"/>
    <xf numFmtId="4" fontId="20" fillId="0" borderId="59" xfId="0" applyNumberFormat="1" applyFont="1" applyBorder="1" applyAlignment="1">
      <alignment horizontal="right" vertical="center"/>
    </xf>
    <xf numFmtId="0" fontId="5" fillId="0" borderId="60" xfId="0" applyFont="1" applyBorder="1"/>
    <xf numFmtId="4" fontId="20" fillId="0" borderId="5" xfId="0" applyNumberFormat="1" applyFont="1" applyBorder="1" applyAlignment="1">
      <alignment horizontal="right" vertical="center"/>
    </xf>
    <xf numFmtId="4" fontId="18" fillId="2" borderId="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64</xdr:row>
      <xdr:rowOff>47625</xdr:rowOff>
    </xdr:from>
    <xdr:ext cx="1200150" cy="514350"/>
    <xdr:sp macro="" textlink="">
      <xdr:nvSpPr>
        <xdr:cNvPr id="3" name="Shape 3"/>
        <xdr:cNvSpPr/>
      </xdr:nvSpPr>
      <xdr:spPr>
        <a:xfrm>
          <a:off x="4750688" y="3527588"/>
          <a:ext cx="1190625" cy="504825"/>
        </a:xfrm>
        <a:prstGeom prst="leftArrow">
          <a:avLst>
            <a:gd name="adj1" fmla="val 50000"/>
            <a:gd name="adj2" fmla="val 50000"/>
          </a:avLst>
        </a:prstGeom>
        <a:noFill/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Assinale com "X"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76200</xdr:colOff>
      <xdr:row>15</xdr:row>
      <xdr:rowOff>104775</xdr:rowOff>
    </xdr:from>
    <xdr:ext cx="647700" cy="609600"/>
    <xdr:sp macro="" textlink="">
      <xdr:nvSpPr>
        <xdr:cNvPr id="4" name="Shape 4"/>
        <xdr:cNvSpPr/>
      </xdr:nvSpPr>
      <xdr:spPr>
        <a:xfrm rot="-5400000">
          <a:off x="5050725" y="3460913"/>
          <a:ext cx="590550" cy="638175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47625</xdr:colOff>
      <xdr:row>9</xdr:row>
      <xdr:rowOff>152400</xdr:rowOff>
    </xdr:from>
    <xdr:ext cx="1866900" cy="895350"/>
    <xdr:sp macro="" textlink="">
      <xdr:nvSpPr>
        <xdr:cNvPr id="5" name="Shape 5"/>
        <xdr:cNvSpPr txBox="1"/>
      </xdr:nvSpPr>
      <xdr:spPr>
        <a:xfrm>
          <a:off x="4412550" y="3332325"/>
          <a:ext cx="1866900" cy="895350"/>
        </a:xfrm>
        <a:prstGeom prst="rect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 licitante deverá preencher todas as células destacadas na cor verde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1514475" cy="800100"/>
    <xdr:pic>
      <xdr:nvPicPr>
        <xdr:cNvPr id="2" name="image1.png" descr="logo_reitori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4</xdr:row>
      <xdr:rowOff>9525</xdr:rowOff>
    </xdr:from>
    <xdr:ext cx="1866900" cy="704850"/>
    <xdr:sp macro="" textlink="">
      <xdr:nvSpPr>
        <xdr:cNvPr id="6" name="Shape 6"/>
        <xdr:cNvSpPr txBox="1"/>
      </xdr:nvSpPr>
      <xdr:spPr>
        <a:xfrm>
          <a:off x="4412550" y="3456150"/>
          <a:ext cx="1866900" cy="647700"/>
        </a:xfrm>
        <a:prstGeom prst="rect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 licitante deverá preencher todas as células destacadas na cor verde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9525</xdr:colOff>
      <xdr:row>9</xdr:row>
      <xdr:rowOff>38100</xdr:rowOff>
    </xdr:from>
    <xdr:ext cx="647700" cy="1019175"/>
    <xdr:sp macro="" textlink="">
      <xdr:nvSpPr>
        <xdr:cNvPr id="7" name="Shape 7"/>
        <xdr:cNvSpPr/>
      </xdr:nvSpPr>
      <xdr:spPr>
        <a:xfrm rot="-5400000">
          <a:off x="4841175" y="3460913"/>
          <a:ext cx="1009650" cy="638175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104775</xdr:colOff>
      <xdr:row>1</xdr:row>
      <xdr:rowOff>161925</xdr:rowOff>
    </xdr:from>
    <xdr:ext cx="1866900" cy="809625"/>
    <xdr:sp macro="" textlink="">
      <xdr:nvSpPr>
        <xdr:cNvPr id="8" name="Shape 8"/>
        <xdr:cNvSpPr txBox="1"/>
      </xdr:nvSpPr>
      <xdr:spPr>
        <a:xfrm>
          <a:off x="4412550" y="3375188"/>
          <a:ext cx="1866900" cy="809625"/>
        </a:xfrm>
        <a:prstGeom prst="rect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lang="en-US" sz="1200" b="1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66675</xdr:colOff>
      <xdr:row>1</xdr:row>
      <xdr:rowOff>1047750</xdr:rowOff>
    </xdr:from>
    <xdr:ext cx="647700" cy="609600"/>
    <xdr:sp macro="" textlink=""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104775</xdr:colOff>
      <xdr:row>1</xdr:row>
      <xdr:rowOff>161925</xdr:rowOff>
    </xdr:from>
    <xdr:ext cx="1866900" cy="809625"/>
    <xdr:sp macro="" textlink="">
      <xdr:nvSpPr>
        <xdr:cNvPr id="10" name="Shape 10"/>
        <xdr:cNvSpPr txBox="1"/>
      </xdr:nvSpPr>
      <xdr:spPr>
        <a:xfrm>
          <a:off x="4412550" y="3375188"/>
          <a:ext cx="1866900" cy="809625"/>
        </a:xfrm>
        <a:prstGeom prst="rect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lang="en-US" sz="1200" b="1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66675</xdr:colOff>
      <xdr:row>1</xdr:row>
      <xdr:rowOff>1047750</xdr:rowOff>
    </xdr:from>
    <xdr:ext cx="647700" cy="609600"/>
    <xdr:sp macro="" textlink=""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142875</xdr:colOff>
      <xdr:row>3</xdr:row>
      <xdr:rowOff>123825</xdr:rowOff>
    </xdr:from>
    <xdr:ext cx="647700" cy="600075"/>
    <xdr:sp macro="" textlink=""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76200</xdr:colOff>
      <xdr:row>1</xdr:row>
      <xdr:rowOff>0</xdr:rowOff>
    </xdr:from>
    <xdr:ext cx="1866900" cy="1019175"/>
    <xdr:sp macro="" textlink="">
      <xdr:nvSpPr>
        <xdr:cNvPr id="11" name="Shape 11"/>
        <xdr:cNvSpPr txBox="1"/>
      </xdr:nvSpPr>
      <xdr:spPr>
        <a:xfrm>
          <a:off x="4412550" y="3275175"/>
          <a:ext cx="1866900" cy="1009650"/>
        </a:xfrm>
        <a:prstGeom prst="rect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lang="en-US" sz="1200" b="1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114300</xdr:colOff>
      <xdr:row>2</xdr:row>
      <xdr:rowOff>19050</xdr:rowOff>
    </xdr:from>
    <xdr:ext cx="647700" cy="600075"/>
    <xdr:sp macro="" textlink=""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76200</xdr:colOff>
      <xdr:row>1</xdr:row>
      <xdr:rowOff>0</xdr:rowOff>
    </xdr:from>
    <xdr:ext cx="1866900" cy="809625"/>
    <xdr:sp macro="" textlink="">
      <xdr:nvSpPr>
        <xdr:cNvPr id="12" name="Shape 12"/>
        <xdr:cNvSpPr txBox="1"/>
      </xdr:nvSpPr>
      <xdr:spPr>
        <a:xfrm>
          <a:off x="4412550" y="3375188"/>
          <a:ext cx="1866900" cy="809625"/>
        </a:xfrm>
        <a:prstGeom prst="rect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lang="en-US" sz="1200" b="1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28</xdr:row>
      <xdr:rowOff>152400</xdr:rowOff>
    </xdr:from>
    <xdr:ext cx="2914650" cy="1743075"/>
    <xdr:sp macro="" textlink="">
      <xdr:nvSpPr>
        <xdr:cNvPr id="13" name="Shape 13"/>
        <xdr:cNvSpPr/>
      </xdr:nvSpPr>
      <xdr:spPr>
        <a:xfrm>
          <a:off x="3893438" y="2913225"/>
          <a:ext cx="2905125" cy="1733550"/>
        </a:xfrm>
        <a:prstGeom prst="bracketPair">
          <a:avLst/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857250</xdr:colOff>
      <xdr:row>1</xdr:row>
      <xdr:rowOff>95250</xdr:rowOff>
    </xdr:from>
    <xdr:ext cx="1514475" cy="590550"/>
    <xdr:pic>
      <xdr:nvPicPr>
        <xdr:cNvPr id="2" name="image1.png" descr="logo_reitori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2"/>
  <sheetViews>
    <sheetView showGridLines="0" tabSelected="1" workbookViewId="0">
      <selection activeCell="H76" sqref="H76"/>
    </sheetView>
  </sheetViews>
  <sheetFormatPr defaultColWidth="12.625" defaultRowHeight="15" customHeight="1" x14ac:dyDescent="0.2"/>
  <cols>
    <col min="1" max="1" width="29.25" customWidth="1"/>
    <col min="2" max="2" width="13.75" customWidth="1"/>
    <col min="3" max="3" width="22.375" customWidth="1"/>
    <col min="4" max="5" width="16.375" customWidth="1"/>
    <col min="6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3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"/>
      <c r="B4" s="3" t="s">
        <v>2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/>
      <c r="B5" s="4" t="s">
        <v>3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2"/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95" t="s">
        <v>4</v>
      </c>
      <c r="B8" s="296"/>
      <c r="C8" s="296"/>
      <c r="D8" s="296"/>
      <c r="E8" s="29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"/>
      <c r="B9" s="2"/>
      <c r="C9" s="2"/>
      <c r="D9" s="2"/>
      <c r="E9" s="1"/>
      <c r="F9" s="1"/>
      <c r="G9" s="1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7" t="s">
        <v>5</v>
      </c>
      <c r="B10" s="298" t="s">
        <v>6</v>
      </c>
      <c r="C10" s="292"/>
      <c r="D10" s="292"/>
      <c r="E10" s="28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8" t="s">
        <v>7</v>
      </c>
      <c r="B11" s="299" t="s">
        <v>8</v>
      </c>
      <c r="C11" s="292"/>
      <c r="D11" s="292"/>
      <c r="E11" s="28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9" t="s">
        <v>9</v>
      </c>
      <c r="B12" s="300" t="s">
        <v>10</v>
      </c>
      <c r="C12" s="292"/>
      <c r="D12" s="292"/>
      <c r="E12" s="28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9" t="s">
        <v>11</v>
      </c>
      <c r="B13" s="300" t="s">
        <v>12</v>
      </c>
      <c r="C13" s="292"/>
      <c r="D13" s="292"/>
      <c r="E13" s="28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9" t="s">
        <v>13</v>
      </c>
      <c r="B14" s="301">
        <f ca="1">NOW()</f>
        <v>44489.18239652778</v>
      </c>
      <c r="C14" s="292"/>
      <c r="D14" s="292"/>
      <c r="E14" s="28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9" t="s">
        <v>14</v>
      </c>
      <c r="B15" s="302"/>
      <c r="C15" s="292"/>
      <c r="D15" s="292"/>
      <c r="E15" s="28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9" t="s">
        <v>15</v>
      </c>
      <c r="B16" s="302"/>
      <c r="C16" s="292"/>
      <c r="D16" s="292"/>
      <c r="E16" s="28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9" t="s">
        <v>16</v>
      </c>
      <c r="B17" s="302"/>
      <c r="C17" s="292"/>
      <c r="D17" s="292"/>
      <c r="E17" s="28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9" t="s">
        <v>17</v>
      </c>
      <c r="B18" s="302"/>
      <c r="C18" s="292"/>
      <c r="D18" s="292"/>
      <c r="E18" s="28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9" t="s">
        <v>18</v>
      </c>
      <c r="B19" s="302"/>
      <c r="C19" s="292"/>
      <c r="D19" s="292"/>
      <c r="E19" s="28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95" t="s">
        <v>19</v>
      </c>
      <c r="B21" s="296"/>
      <c r="C21" s="296"/>
      <c r="D21" s="296"/>
      <c r="E21" s="29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1"/>
      <c r="B22" s="11"/>
      <c r="C22" s="1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91" t="s">
        <v>20</v>
      </c>
      <c r="B23" s="292"/>
      <c r="C23" s="292"/>
      <c r="D23" s="292"/>
      <c r="E23" s="28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" customHeight="1" x14ac:dyDescent="0.2">
      <c r="A24" s="12" t="s">
        <v>21</v>
      </c>
      <c r="B24" s="293" t="s">
        <v>22</v>
      </c>
      <c r="C24" s="294"/>
      <c r="D24" s="13" t="s">
        <v>23</v>
      </c>
      <c r="E24" s="13" t="s">
        <v>24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303" t="s">
        <v>25</v>
      </c>
      <c r="B25" s="288" t="s">
        <v>26</v>
      </c>
      <c r="C25" s="289"/>
      <c r="D25" s="14"/>
      <c r="E25" s="15">
        <v>1033.8399999999999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304"/>
      <c r="B26" s="288" t="s">
        <v>27</v>
      </c>
      <c r="C26" s="289"/>
      <c r="D26" s="16"/>
      <c r="E26" s="15">
        <v>9507.89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04"/>
      <c r="B27" s="288" t="s">
        <v>28</v>
      </c>
      <c r="C27" s="289"/>
      <c r="D27" s="16"/>
      <c r="E27" s="15">
        <v>2609.1799999999998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04"/>
      <c r="B28" s="290" t="s">
        <v>29</v>
      </c>
      <c r="C28" s="289"/>
      <c r="D28" s="16"/>
      <c r="E28" s="15">
        <v>4812.8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304"/>
      <c r="B29" s="288" t="s">
        <v>30</v>
      </c>
      <c r="C29" s="289"/>
      <c r="D29" s="14"/>
      <c r="E29" s="15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05"/>
      <c r="B30" s="290" t="s">
        <v>31</v>
      </c>
      <c r="C30" s="289"/>
      <c r="D30" s="16"/>
      <c r="E30" s="15">
        <v>909.25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customHeight="1" x14ac:dyDescent="0.2">
      <c r="A31" s="303" t="s">
        <v>32</v>
      </c>
      <c r="B31" s="290" t="s">
        <v>33</v>
      </c>
      <c r="C31" s="289"/>
      <c r="D31" s="14"/>
      <c r="E31" s="15">
        <v>741.56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04"/>
      <c r="B32" s="290" t="s">
        <v>34</v>
      </c>
      <c r="C32" s="289"/>
      <c r="D32" s="14"/>
      <c r="E32" s="15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04"/>
      <c r="B33" s="290" t="s">
        <v>35</v>
      </c>
      <c r="C33" s="289"/>
      <c r="D33" s="14"/>
      <c r="E33" s="15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04"/>
      <c r="B34" s="290" t="s">
        <v>36</v>
      </c>
      <c r="C34" s="289"/>
      <c r="D34" s="14"/>
      <c r="E34" s="15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04"/>
      <c r="B35" s="290" t="s">
        <v>37</v>
      </c>
      <c r="C35" s="289"/>
      <c r="D35" s="14"/>
      <c r="E35" s="15">
        <v>494.55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 x14ac:dyDescent="0.2">
      <c r="A36" s="305"/>
      <c r="B36" s="290" t="s">
        <v>38</v>
      </c>
      <c r="C36" s="289"/>
      <c r="D36" s="14"/>
      <c r="E36" s="15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306" t="s">
        <v>39</v>
      </c>
      <c r="B37" s="290" t="s">
        <v>40</v>
      </c>
      <c r="C37" s="289"/>
      <c r="D37" s="14"/>
      <c r="E37" s="17">
        <v>1163.3399999999999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304"/>
      <c r="B38" s="290" t="s">
        <v>41</v>
      </c>
      <c r="C38" s="289"/>
      <c r="D38" s="16"/>
      <c r="E38" s="15">
        <v>760.32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307"/>
      <c r="B39" s="290" t="s">
        <v>42</v>
      </c>
      <c r="C39" s="289"/>
      <c r="D39" s="16"/>
      <c r="E39" s="15">
        <v>1863.68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8" t="s">
        <v>43</v>
      </c>
      <c r="B40" s="290" t="s">
        <v>44</v>
      </c>
      <c r="C40" s="289"/>
      <c r="D40" s="14"/>
      <c r="E40" s="15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 x14ac:dyDescent="0.2">
      <c r="A41" s="18" t="s">
        <v>45</v>
      </c>
      <c r="B41" s="290" t="s">
        <v>46</v>
      </c>
      <c r="C41" s="289"/>
      <c r="D41" s="14"/>
      <c r="E41" s="15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 x14ac:dyDescent="0.2">
      <c r="A42" s="19"/>
      <c r="B42" s="20"/>
      <c r="C42" s="20"/>
      <c r="D42" s="21"/>
      <c r="E42" s="22">
        <f>SUM(E25:E41)</f>
        <v>23896.41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291" t="s">
        <v>47</v>
      </c>
      <c r="B43" s="292"/>
      <c r="C43" s="292"/>
      <c r="D43" s="292"/>
      <c r="E43" s="28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" customHeight="1" x14ac:dyDescent="0.2">
      <c r="A44" s="12" t="s">
        <v>21</v>
      </c>
      <c r="B44" s="293" t="s">
        <v>22</v>
      </c>
      <c r="C44" s="294"/>
      <c r="D44" s="13" t="s">
        <v>48</v>
      </c>
      <c r="E44" s="13" t="s">
        <v>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303" t="s">
        <v>25</v>
      </c>
      <c r="B45" s="288" t="s">
        <v>26</v>
      </c>
      <c r="C45" s="289"/>
      <c r="D45" s="14"/>
      <c r="E45" s="15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304"/>
      <c r="B46" s="288" t="s">
        <v>27</v>
      </c>
      <c r="C46" s="289"/>
      <c r="D46" s="14"/>
      <c r="E46" s="15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04"/>
      <c r="B47" s="288" t="s">
        <v>28</v>
      </c>
      <c r="C47" s="289"/>
      <c r="D47" s="14"/>
      <c r="E47" s="15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04"/>
      <c r="B48" s="290" t="s">
        <v>50</v>
      </c>
      <c r="C48" s="289"/>
      <c r="D48" s="14"/>
      <c r="E48" s="15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304"/>
      <c r="B49" s="288" t="s">
        <v>51</v>
      </c>
      <c r="C49" s="289"/>
      <c r="D49" s="14"/>
      <c r="E49" s="15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04"/>
      <c r="B50" s="290" t="s">
        <v>31</v>
      </c>
      <c r="C50" s="289"/>
      <c r="D50" s="14"/>
      <c r="E50" s="15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307"/>
      <c r="B51" s="314" t="s">
        <v>30</v>
      </c>
      <c r="C51" s="289"/>
      <c r="D51" s="14"/>
      <c r="E51" s="15">
        <v>739.35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customHeight="1" x14ac:dyDescent="0.2">
      <c r="A52" s="303" t="s">
        <v>32</v>
      </c>
      <c r="B52" s="290" t="s">
        <v>33</v>
      </c>
      <c r="C52" s="289"/>
      <c r="D52" s="14"/>
      <c r="E52" s="15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304"/>
      <c r="B53" s="290" t="s">
        <v>34</v>
      </c>
      <c r="C53" s="289"/>
      <c r="D53" s="14"/>
      <c r="E53" s="15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04"/>
      <c r="B54" s="290" t="s">
        <v>35</v>
      </c>
      <c r="C54" s="289"/>
      <c r="D54" s="14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04"/>
      <c r="B55" s="290" t="s">
        <v>36</v>
      </c>
      <c r="C55" s="289"/>
      <c r="D55" s="14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04"/>
      <c r="B56" s="290" t="s">
        <v>37</v>
      </c>
      <c r="C56" s="289"/>
      <c r="D56" s="14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customHeight="1" x14ac:dyDescent="0.2">
      <c r="A57" s="305"/>
      <c r="B57" s="290" t="s">
        <v>38</v>
      </c>
      <c r="C57" s="289"/>
      <c r="D57" s="14"/>
      <c r="E57" s="15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06" t="s">
        <v>39</v>
      </c>
      <c r="B58" s="290" t="s">
        <v>52</v>
      </c>
      <c r="C58" s="289"/>
      <c r="D58" s="14"/>
      <c r="E58" s="15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04"/>
      <c r="B59" s="290" t="s">
        <v>53</v>
      </c>
      <c r="C59" s="289"/>
      <c r="D59" s="14"/>
      <c r="E59" s="15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07"/>
      <c r="B60" s="290" t="s">
        <v>42</v>
      </c>
      <c r="C60" s="289"/>
      <c r="D60" s="14"/>
      <c r="E60" s="15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8" t="s">
        <v>43</v>
      </c>
      <c r="B61" s="290" t="s">
        <v>44</v>
      </c>
      <c r="C61" s="289"/>
      <c r="D61" s="14"/>
      <c r="E61" s="15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 x14ac:dyDescent="0.2">
      <c r="A62" s="18" t="s">
        <v>45</v>
      </c>
      <c r="B62" s="290" t="s">
        <v>46</v>
      </c>
      <c r="C62" s="289"/>
      <c r="D62" s="14"/>
      <c r="E62" s="15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6.25" customHeight="1" x14ac:dyDescent="0.2">
      <c r="A63" s="308" t="s">
        <v>54</v>
      </c>
      <c r="B63" s="309"/>
      <c r="C63" s="309"/>
      <c r="D63" s="309"/>
      <c r="E63" s="30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95" t="s">
        <v>55</v>
      </c>
      <c r="B64" s="296"/>
      <c r="C64" s="296"/>
      <c r="D64" s="296"/>
      <c r="E64" s="29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24" t="s">
        <v>56</v>
      </c>
      <c r="B66" s="25"/>
      <c r="C66" s="11"/>
      <c r="D66" s="310" t="str">
        <f>'Valor posto 40%'!Q183</f>
        <v/>
      </c>
      <c r="E66" s="3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26" t="s">
        <v>57</v>
      </c>
      <c r="B67" s="27"/>
      <c r="C67" s="11"/>
      <c r="D67" s="311"/>
      <c r="E67" s="3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24"/>
      <c r="B68" s="28"/>
      <c r="C68" s="2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295" t="s">
        <v>58</v>
      </c>
      <c r="B69" s="296"/>
      <c r="C69" s="296"/>
      <c r="D69" s="296"/>
      <c r="E69" s="29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24" t="s">
        <v>59</v>
      </c>
      <c r="B71" s="29" t="s">
        <v>60</v>
      </c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24" t="s">
        <v>61</v>
      </c>
      <c r="B72" s="30">
        <v>44197</v>
      </c>
      <c r="C72" s="3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24" t="s">
        <v>62</v>
      </c>
      <c r="B73" s="32"/>
      <c r="C73" s="33" t="s">
        <v>63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24" t="s">
        <v>62</v>
      </c>
      <c r="B74" s="32"/>
      <c r="C74" s="34" t="s">
        <v>64</v>
      </c>
      <c r="D74" s="3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6" t="s">
        <v>62</v>
      </c>
      <c r="B75" s="32"/>
      <c r="C75" s="34" t="s">
        <v>65</v>
      </c>
      <c r="D75" s="3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4"/>
      <c r="B76" s="37"/>
      <c r="C76" s="37"/>
      <c r="D76" s="3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295" t="s">
        <v>66</v>
      </c>
      <c r="B77" s="296"/>
      <c r="C77" s="296"/>
      <c r="D77" s="296"/>
      <c r="E77" s="29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8" t="s">
        <v>67</v>
      </c>
      <c r="B79" s="39"/>
      <c r="C79" s="40"/>
      <c r="D79" s="3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8" t="s">
        <v>68</v>
      </c>
      <c r="B80" s="39"/>
      <c r="C80" s="40"/>
      <c r="D80" s="3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8" t="s">
        <v>67</v>
      </c>
      <c r="B81" s="39"/>
      <c r="C81" s="41" t="str">
        <f>IF(B81=8.8,"Nota: 8,8 = 8h 48min","")</f>
        <v/>
      </c>
      <c r="D81" s="3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295" t="s">
        <v>69</v>
      </c>
      <c r="B83" s="296"/>
      <c r="C83" s="296"/>
      <c r="D83" s="296"/>
      <c r="E83" s="29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8" t="s">
        <v>70</v>
      </c>
      <c r="B85" s="42"/>
      <c r="C85" s="1" t="s">
        <v>71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8" t="s">
        <v>72</v>
      </c>
      <c r="B86" s="43"/>
      <c r="C86" s="1" t="s">
        <v>73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8" t="s">
        <v>74</v>
      </c>
      <c r="B87" s="44"/>
      <c r="C87" s="45"/>
      <c r="D87" s="3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8" t="s">
        <v>75</v>
      </c>
      <c r="B88" s="46"/>
      <c r="C88" s="45"/>
      <c r="D88" s="3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8" t="s">
        <v>76</v>
      </c>
      <c r="B89" s="47"/>
      <c r="C89" s="40"/>
      <c r="D89" s="3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8" t="s">
        <v>77</v>
      </c>
      <c r="B90" s="44"/>
      <c r="C90" s="45"/>
      <c r="D90" s="3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8" t="s">
        <v>78</v>
      </c>
      <c r="B91" s="48"/>
      <c r="C91" s="40"/>
      <c r="D91" s="3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8" t="s">
        <v>79</v>
      </c>
      <c r="B92" s="47"/>
      <c r="C92" s="40"/>
      <c r="D92" s="3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8" t="s">
        <v>80</v>
      </c>
      <c r="B93" s="49"/>
      <c r="C93" s="45"/>
      <c r="D93" s="3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295" t="s">
        <v>81</v>
      </c>
      <c r="B95" s="296"/>
      <c r="C95" s="296"/>
      <c r="D95" s="296"/>
      <c r="E95" s="29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"/>
      <c r="B97" s="312" t="s">
        <v>82</v>
      </c>
      <c r="C97" s="313"/>
      <c r="D97" s="5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51" t="s">
        <v>83</v>
      </c>
      <c r="C98" s="52" t="s">
        <v>84</v>
      </c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24" t="s">
        <v>85</v>
      </c>
      <c r="B99" s="53"/>
      <c r="C99" s="54"/>
      <c r="D99" s="35"/>
      <c r="E99" s="5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24" t="s">
        <v>86</v>
      </c>
      <c r="B100" s="56"/>
      <c r="C100" s="57"/>
      <c r="D100" s="35"/>
      <c r="E100" s="5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24" t="s">
        <v>87</v>
      </c>
      <c r="B101" s="58"/>
      <c r="C101" s="58"/>
      <c r="D101" s="35"/>
      <c r="E101" s="5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6" t="s">
        <v>88</v>
      </c>
      <c r="B102" s="59"/>
      <c r="C102" s="5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6" t="s">
        <v>89</v>
      </c>
      <c r="B103" s="59"/>
      <c r="C103" s="5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65">
    <mergeCell ref="A69:E69"/>
    <mergeCell ref="A77:E77"/>
    <mergeCell ref="A83:E83"/>
    <mergeCell ref="A95:E95"/>
    <mergeCell ref="B97:C97"/>
    <mergeCell ref="A52:A57"/>
    <mergeCell ref="A58:A60"/>
    <mergeCell ref="A63:E63"/>
    <mergeCell ref="A64:E64"/>
    <mergeCell ref="D66:E67"/>
    <mergeCell ref="A31:A36"/>
    <mergeCell ref="B31:C31"/>
    <mergeCell ref="B32:C32"/>
    <mergeCell ref="B33:C33"/>
    <mergeCell ref="B34:C34"/>
    <mergeCell ref="B35:C35"/>
    <mergeCell ref="B36:C36"/>
    <mergeCell ref="B27:C27"/>
    <mergeCell ref="B16:E16"/>
    <mergeCell ref="B17:E17"/>
    <mergeCell ref="B18:E18"/>
    <mergeCell ref="B19:E19"/>
    <mergeCell ref="A21:E21"/>
    <mergeCell ref="A23:E23"/>
    <mergeCell ref="A25:A30"/>
    <mergeCell ref="B30:C30"/>
    <mergeCell ref="B28:C28"/>
    <mergeCell ref="B29:C29"/>
    <mergeCell ref="B14:E14"/>
    <mergeCell ref="B15:E15"/>
    <mergeCell ref="B24:C24"/>
    <mergeCell ref="B25:C25"/>
    <mergeCell ref="B26:C26"/>
    <mergeCell ref="A8:E8"/>
    <mergeCell ref="B10:E10"/>
    <mergeCell ref="B11:E11"/>
    <mergeCell ref="B12:E12"/>
    <mergeCell ref="B13:E13"/>
    <mergeCell ref="B59:C59"/>
    <mergeCell ref="B60:C60"/>
    <mergeCell ref="B61:C61"/>
    <mergeCell ref="B62:C62"/>
    <mergeCell ref="B52:C52"/>
    <mergeCell ref="B53:C53"/>
    <mergeCell ref="B54:C54"/>
    <mergeCell ref="B55:C55"/>
    <mergeCell ref="B56:C56"/>
    <mergeCell ref="B57:C57"/>
    <mergeCell ref="B58:C58"/>
    <mergeCell ref="B45:C45"/>
    <mergeCell ref="B46:C46"/>
    <mergeCell ref="B37:C37"/>
    <mergeCell ref="B38:C38"/>
    <mergeCell ref="B39:C39"/>
    <mergeCell ref="B40:C40"/>
    <mergeCell ref="B41:C41"/>
    <mergeCell ref="A43:E43"/>
    <mergeCell ref="B44:C44"/>
    <mergeCell ref="A37:A39"/>
    <mergeCell ref="A45:A51"/>
    <mergeCell ref="B47:C47"/>
    <mergeCell ref="B48:C48"/>
    <mergeCell ref="B49:C49"/>
    <mergeCell ref="B50:C50"/>
    <mergeCell ref="B51:C51"/>
  </mergeCells>
  <conditionalFormatting sqref="B5">
    <cfRule type="expression" dxfId="4" priority="1" stopIfTrue="1">
      <formula>LEN(TRIM(B5))=0</formula>
    </cfRule>
  </conditionalFormatting>
  <conditionalFormatting sqref="B5">
    <cfRule type="expression" dxfId="3" priority="2" stopIfTrue="1">
      <formula>LEN(TRIM(B5))=0</formula>
    </cfRule>
  </conditionalFormatting>
  <conditionalFormatting sqref="B13:E13">
    <cfRule type="expression" dxfId="2" priority="3" stopIfTrue="1">
      <formula>LEN(TRIM(B13))=0</formula>
    </cfRule>
  </conditionalFormatting>
  <conditionalFormatting sqref="D66:E67">
    <cfRule type="expression" dxfId="1" priority="4" stopIfTrue="1">
      <formula>LEN(TRIM(D66))&gt;0</formula>
    </cfRule>
  </conditionalFormatting>
  <conditionalFormatting sqref="D66:E67">
    <cfRule type="expression" dxfId="0" priority="5" stopIfTrue="1">
      <formula>LEN(TRIM(D66))&gt;0</formula>
    </cfRule>
  </conditionalFormatting>
  <printOptions horizontalCentered="1"/>
  <pageMargins left="0.31388888888888899" right="0.31388888888888899" top="0.39305555555555599" bottom="0.39305555555555599" header="0" footer="0"/>
  <pageSetup paperSize="9" scale="6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2"/>
  <sheetViews>
    <sheetView showGridLines="0" workbookViewId="0"/>
  </sheetViews>
  <sheetFormatPr defaultColWidth="12.625" defaultRowHeight="15" customHeight="1" x14ac:dyDescent="0.2"/>
  <cols>
    <col min="1" max="1" width="1" customWidth="1"/>
    <col min="2" max="2" width="3.25" customWidth="1"/>
    <col min="3" max="3" width="39.75" customWidth="1"/>
    <col min="4" max="4" width="20.75" customWidth="1"/>
    <col min="5" max="5" width="12" customWidth="1"/>
    <col min="6" max="6" width="8" customWidth="1"/>
    <col min="7" max="7" width="21" customWidth="1"/>
    <col min="8" max="8" width="0.75" customWidth="1"/>
    <col min="9" max="9" width="31.75" customWidth="1"/>
    <col min="10" max="26" width="8" customWidth="1"/>
  </cols>
  <sheetData>
    <row r="1" spans="1:26" ht="12.7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2.75" customHeight="1" x14ac:dyDescent="0.3">
      <c r="A2" s="61"/>
      <c r="B2" s="259"/>
      <c r="C2" s="260"/>
      <c r="D2" s="3" t="s">
        <v>0</v>
      </c>
      <c r="E2" s="3"/>
      <c r="F2" s="3"/>
      <c r="G2" s="3"/>
      <c r="H2" s="2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2.75" customHeight="1" x14ac:dyDescent="0.25">
      <c r="A3" s="61"/>
      <c r="B3" s="259"/>
      <c r="C3" s="260"/>
      <c r="D3" s="3" t="s">
        <v>757</v>
      </c>
      <c r="E3" s="3"/>
      <c r="F3" s="3"/>
      <c r="G3" s="3"/>
      <c r="H3" s="262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2.75" customHeight="1" x14ac:dyDescent="0.25">
      <c r="A4" s="61"/>
      <c r="B4" s="259"/>
      <c r="C4" s="260"/>
      <c r="D4" s="3" t="s">
        <v>2</v>
      </c>
      <c r="E4" s="3"/>
      <c r="F4" s="3"/>
      <c r="G4" s="3"/>
      <c r="H4" s="263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75" customHeight="1" x14ac:dyDescent="0.25">
      <c r="A5" s="61"/>
      <c r="B5" s="259"/>
      <c r="C5" s="260"/>
      <c r="D5" s="264" t="str">
        <f>'Aba Carregamento'!B5</f>
        <v>Campus Porto Alegre</v>
      </c>
      <c r="E5" s="3"/>
      <c r="F5" s="3"/>
      <c r="G5" s="3"/>
      <c r="H5" s="2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2.75" customHeight="1" x14ac:dyDescent="0.2">
      <c r="A6" s="61"/>
      <c r="B6" s="259"/>
      <c r="C6" s="260"/>
      <c r="D6" s="480" t="s">
        <v>758</v>
      </c>
      <c r="E6" s="311"/>
      <c r="F6" s="311"/>
      <c r="G6" s="311"/>
      <c r="H6" s="265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2.75" customHeight="1" x14ac:dyDescent="0.2">
      <c r="A7" s="61"/>
      <c r="B7" s="259"/>
      <c r="C7" s="260"/>
      <c r="D7" s="311"/>
      <c r="E7" s="311"/>
      <c r="F7" s="311"/>
      <c r="G7" s="311"/>
      <c r="H7" s="265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2.75" customHeight="1" x14ac:dyDescent="0.2">
      <c r="A8" s="61"/>
      <c r="B8" s="259"/>
      <c r="C8" s="259"/>
      <c r="D8" s="259"/>
      <c r="E8" s="259"/>
      <c r="F8" s="259"/>
      <c r="G8" s="259"/>
      <c r="H8" s="259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 customHeight="1" x14ac:dyDescent="0.2">
      <c r="A9" s="61"/>
      <c r="B9" s="259"/>
      <c r="C9" s="259"/>
      <c r="D9" s="259"/>
      <c r="E9" s="259"/>
      <c r="F9" s="259"/>
      <c r="G9" s="259"/>
      <c r="H9" s="259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2.75" customHeight="1" x14ac:dyDescent="0.2">
      <c r="A10" s="61"/>
      <c r="B10" s="259"/>
      <c r="C10" s="266" t="s">
        <v>759</v>
      </c>
      <c r="D10" s="267" t="s">
        <v>760</v>
      </c>
      <c r="E10" s="481" t="s">
        <v>761</v>
      </c>
      <c r="F10" s="482"/>
      <c r="G10" s="268" t="s">
        <v>762</v>
      </c>
      <c r="H10" s="259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78.75" customHeight="1" x14ac:dyDescent="0.3">
      <c r="A11" s="61"/>
      <c r="B11" s="259"/>
      <c r="C11" s="269" t="s">
        <v>763</v>
      </c>
      <c r="D11" s="270" t="e">
        <f>'Qtd postos 20%'!L23</f>
        <v>#DIV/0!</v>
      </c>
      <c r="E11" s="483" t="e">
        <f>'Valor posto 20%'!I340</f>
        <v>#DIV/0!</v>
      </c>
      <c r="F11" s="484"/>
      <c r="G11" s="271" t="e">
        <f>'Valor posto 20%'!I344</f>
        <v>#DIV/0!</v>
      </c>
      <c r="H11" s="259"/>
      <c r="I11" s="27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2.75" customHeight="1" x14ac:dyDescent="0.3">
      <c r="A12" s="61"/>
      <c r="B12" s="259"/>
      <c r="C12" s="269" t="s">
        <v>764</v>
      </c>
      <c r="D12" s="273" t="e">
        <f>'Qtd postos 40%'!L24</f>
        <v>#DIV/0!</v>
      </c>
      <c r="E12" s="485" t="e">
        <f>'Valor posto 40%'!I340</f>
        <v>#DIV/0!</v>
      </c>
      <c r="F12" s="289"/>
      <c r="G12" s="274" t="e">
        <f>'Valor posto 40%'!I344</f>
        <v>#DIV/0!</v>
      </c>
      <c r="H12" s="259"/>
      <c r="I12" s="27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2.75" customHeight="1" x14ac:dyDescent="0.3">
      <c r="A13" s="61"/>
      <c r="B13" s="259"/>
      <c r="C13" s="269" t="s">
        <v>765</v>
      </c>
      <c r="D13" s="273">
        <v>1</v>
      </c>
      <c r="E13" s="485">
        <f>'Encarregado 40%'!I200</f>
        <v>15.41</v>
      </c>
      <c r="F13" s="289"/>
      <c r="G13" s="274">
        <f>'Encarregado 40%'!I204</f>
        <v>308.2</v>
      </c>
      <c r="H13" s="259"/>
      <c r="I13" s="27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60" x14ac:dyDescent="0.3">
      <c r="A14" s="61"/>
      <c r="B14" s="259"/>
      <c r="C14" s="275" t="s">
        <v>766</v>
      </c>
      <c r="D14" s="276">
        <f>' Aux. Serviços Gerais '!G212</f>
        <v>2</v>
      </c>
      <c r="E14" s="485">
        <f>' Aux. Serviços Gerais '!I204</f>
        <v>30.82</v>
      </c>
      <c r="F14" s="289"/>
      <c r="G14" s="274">
        <f>' Aux. Serviços Gerais '!I208</f>
        <v>616.4</v>
      </c>
      <c r="H14" s="259"/>
      <c r="I14" s="27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31.5" customHeight="1" x14ac:dyDescent="0.3">
      <c r="A15" s="61"/>
      <c r="B15" s="259"/>
      <c r="C15" s="275" t="s">
        <v>767</v>
      </c>
      <c r="D15" s="277"/>
      <c r="E15" s="485">
        <f>G15/20</f>
        <v>0</v>
      </c>
      <c r="F15" s="289"/>
      <c r="G15" s="274">
        <f>'Serviços Eventuais'!G25</f>
        <v>0</v>
      </c>
      <c r="H15" s="259"/>
      <c r="I15" s="27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39.75" customHeight="1" x14ac:dyDescent="0.3">
      <c r="A16" s="61"/>
      <c r="B16" s="259"/>
      <c r="C16" s="278" t="s">
        <v>476</v>
      </c>
      <c r="D16" s="279" t="e">
        <f>SUM(D11:D15)</f>
        <v>#DIV/0!</v>
      </c>
      <c r="E16" s="486" t="e">
        <f>SUM(E11:F15)</f>
        <v>#DIV/0!</v>
      </c>
      <c r="F16" s="289"/>
      <c r="G16" s="280" t="e">
        <f>SUM(G11:G15)</f>
        <v>#DIV/0!</v>
      </c>
      <c r="H16" s="259"/>
      <c r="I16" s="27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2.75" customHeight="1" x14ac:dyDescent="0.2">
      <c r="A17" s="61"/>
      <c r="B17" s="259"/>
      <c r="C17" s="281"/>
      <c r="D17" s="282"/>
      <c r="E17" s="283"/>
      <c r="F17" s="282"/>
      <c r="G17" s="282"/>
      <c r="H17" s="2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2.75" customHeight="1" x14ac:dyDescent="0.2">
      <c r="A18" s="61"/>
      <c r="B18" s="259"/>
      <c r="C18" s="281"/>
      <c r="D18" s="282"/>
      <c r="E18" s="283"/>
      <c r="F18" s="282"/>
      <c r="G18" s="282"/>
      <c r="H18" s="259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2.75" customHeight="1" x14ac:dyDescent="0.25">
      <c r="A19" s="61"/>
      <c r="B19" s="259"/>
      <c r="C19" s="284" t="s">
        <v>768</v>
      </c>
      <c r="D19" s="285"/>
      <c r="E19" s="285"/>
      <c r="F19" s="285"/>
      <c r="G19" s="285"/>
      <c r="H19" s="259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2.75" customHeight="1" x14ac:dyDescent="0.2">
      <c r="A20" s="61"/>
      <c r="B20" s="259"/>
      <c r="C20" s="487" t="s">
        <v>769</v>
      </c>
      <c r="D20" s="311"/>
      <c r="E20" s="311"/>
      <c r="F20" s="311"/>
      <c r="G20" s="311"/>
      <c r="H20" s="259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2.75" customHeight="1" x14ac:dyDescent="0.2">
      <c r="A21" s="61"/>
      <c r="B21" s="259"/>
      <c r="C21" s="488" t="s">
        <v>770</v>
      </c>
      <c r="D21" s="311"/>
      <c r="E21" s="311"/>
      <c r="F21" s="311"/>
      <c r="G21" s="311"/>
      <c r="H21" s="259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2.75" customHeight="1" x14ac:dyDescent="0.2">
      <c r="A22" s="61"/>
      <c r="B22" s="259"/>
      <c r="C22" s="488" t="s">
        <v>771</v>
      </c>
      <c r="D22" s="311"/>
      <c r="E22" s="311"/>
      <c r="F22" s="311"/>
      <c r="G22" s="311"/>
      <c r="H22" s="259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2.75" customHeight="1" x14ac:dyDescent="0.2">
      <c r="A23" s="61"/>
      <c r="B23" s="259"/>
      <c r="C23" s="488" t="s">
        <v>772</v>
      </c>
      <c r="D23" s="311"/>
      <c r="E23" s="311"/>
      <c r="F23" s="311"/>
      <c r="G23" s="311"/>
      <c r="H23" s="259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2.75" customHeight="1" x14ac:dyDescent="0.2">
      <c r="A24" s="61"/>
      <c r="B24" s="259"/>
      <c r="C24" s="488" t="s">
        <v>773</v>
      </c>
      <c r="D24" s="311"/>
      <c r="E24" s="311"/>
      <c r="F24" s="311"/>
      <c r="G24" s="311"/>
      <c r="H24" s="259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2.75" customHeight="1" x14ac:dyDescent="0.2">
      <c r="A25" s="61"/>
      <c r="B25" s="259"/>
      <c r="C25" s="487" t="s">
        <v>774</v>
      </c>
      <c r="D25" s="311"/>
      <c r="E25" s="311"/>
      <c r="F25" s="311"/>
      <c r="G25" s="311"/>
      <c r="H25" s="259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2.75" customHeight="1" x14ac:dyDescent="0.2">
      <c r="A26" s="61"/>
      <c r="B26" s="259"/>
      <c r="C26" s="285"/>
      <c r="D26" s="285"/>
      <c r="E26" s="285"/>
      <c r="F26" s="285"/>
      <c r="G26" s="285"/>
      <c r="H26" s="259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2.75" customHeight="1" x14ac:dyDescent="0.25">
      <c r="A27" s="61"/>
      <c r="B27" s="259"/>
      <c r="C27" s="286" t="s">
        <v>14</v>
      </c>
      <c r="D27" s="487">
        <f>'Aba Carregamento'!$B$15</f>
        <v>0</v>
      </c>
      <c r="E27" s="311"/>
      <c r="F27" s="311"/>
      <c r="G27" s="311"/>
      <c r="H27" s="259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2.75" customHeight="1" x14ac:dyDescent="0.25">
      <c r="A28" s="61"/>
      <c r="B28" s="259"/>
      <c r="C28" s="286" t="s">
        <v>15</v>
      </c>
      <c r="D28" s="487">
        <f>'Aba Carregamento'!$B$16</f>
        <v>0</v>
      </c>
      <c r="E28" s="311"/>
      <c r="F28" s="285"/>
      <c r="G28" s="285"/>
      <c r="H28" s="259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 customHeight="1" x14ac:dyDescent="0.2">
      <c r="A29" s="61"/>
      <c r="B29" s="259"/>
      <c r="C29" s="285"/>
      <c r="D29" s="285"/>
      <c r="E29" s="285"/>
      <c r="F29" s="487" t="s">
        <v>775</v>
      </c>
      <c r="G29" s="311"/>
      <c r="H29" s="2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75" customHeight="1" x14ac:dyDescent="0.2">
      <c r="A30" s="61"/>
      <c r="B30" s="259"/>
      <c r="C30" s="285"/>
      <c r="D30" s="285"/>
      <c r="E30" s="285"/>
      <c r="F30" s="285"/>
      <c r="G30" s="285"/>
      <c r="H30" s="2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75" customHeight="1" x14ac:dyDescent="0.2">
      <c r="A31" s="61"/>
      <c r="B31" s="259"/>
      <c r="C31" s="285"/>
      <c r="D31" s="285"/>
      <c r="E31" s="285"/>
      <c r="F31" s="492"/>
      <c r="G31" s="311"/>
      <c r="H31" s="259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2.75" customHeight="1" x14ac:dyDescent="0.2">
      <c r="A32" s="61"/>
      <c r="B32" s="259"/>
      <c r="C32" s="285"/>
      <c r="D32" s="285"/>
      <c r="E32" s="285"/>
      <c r="F32" s="285"/>
      <c r="G32" s="285"/>
      <c r="H32" s="259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 customHeight="1" x14ac:dyDescent="0.2">
      <c r="A33" s="61"/>
      <c r="B33" s="259"/>
      <c r="C33" s="259"/>
      <c r="D33" s="285"/>
      <c r="E33" s="285"/>
      <c r="F33" s="285"/>
      <c r="G33" s="285"/>
      <c r="H33" s="259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 customHeight="1" x14ac:dyDescent="0.2">
      <c r="A34" s="61"/>
      <c r="B34" s="259"/>
      <c r="C34" s="493">
        <f>'Aba Carregamento'!B17</f>
        <v>0</v>
      </c>
      <c r="D34" s="309"/>
      <c r="E34" s="285"/>
      <c r="F34" s="285"/>
      <c r="G34" s="285"/>
      <c r="H34" s="259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2.75" customHeight="1" x14ac:dyDescent="0.2">
      <c r="A35" s="61"/>
      <c r="B35" s="259"/>
      <c r="C35" s="492">
        <f>'Aba Carregamento'!B18</f>
        <v>0</v>
      </c>
      <c r="D35" s="311"/>
      <c r="E35" s="128"/>
      <c r="F35" s="285"/>
      <c r="G35" s="285"/>
      <c r="H35" s="259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2.75" customHeight="1" x14ac:dyDescent="0.2">
      <c r="A36" s="61"/>
      <c r="B36" s="259"/>
      <c r="C36" s="492">
        <f>'Aba Carregamento'!B19</f>
        <v>0</v>
      </c>
      <c r="D36" s="311"/>
      <c r="E36" s="128"/>
      <c r="F36" s="285"/>
      <c r="G36" s="285"/>
      <c r="H36" s="259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 customHeight="1" x14ac:dyDescent="0.2">
      <c r="A37" s="61"/>
      <c r="B37" s="259"/>
      <c r="C37" s="128"/>
      <c r="D37" s="489"/>
      <c r="E37" s="311"/>
      <c r="F37" s="285"/>
      <c r="G37" s="285"/>
      <c r="H37" s="259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 customHeight="1" x14ac:dyDescent="0.2">
      <c r="A38" s="61"/>
      <c r="B38" s="259"/>
      <c r="C38" s="287" t="str">
        <f>'Aba Carregamento'!B13</f>
        <v>Porto Alegre/ RS</v>
      </c>
      <c r="D38" s="490">
        <f ca="1">NOW()</f>
        <v>44489.18239652778</v>
      </c>
      <c r="E38" s="311"/>
      <c r="F38" s="285"/>
      <c r="G38" s="285"/>
      <c r="H38" s="259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 x14ac:dyDescent="0.2">
      <c r="A39" s="61"/>
      <c r="B39" s="259"/>
      <c r="C39" s="128"/>
      <c r="D39" s="491"/>
      <c r="E39" s="311"/>
      <c r="F39" s="285"/>
      <c r="G39" s="285"/>
      <c r="H39" s="259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 customHeight="1" x14ac:dyDescent="0.2">
      <c r="A40" s="61"/>
      <c r="B40" s="259"/>
      <c r="C40" s="259"/>
      <c r="D40" s="259"/>
      <c r="E40" s="259"/>
      <c r="F40" s="259"/>
      <c r="G40" s="259"/>
      <c r="H40" s="259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 customHeight="1" x14ac:dyDescent="0.2">
      <c r="A41" s="61"/>
      <c r="B41" s="259"/>
      <c r="C41" s="259"/>
      <c r="D41" s="259"/>
      <c r="E41" s="259"/>
      <c r="F41" s="259"/>
      <c r="G41" s="259"/>
      <c r="H41" s="259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 customHeight="1" x14ac:dyDescent="0.2">
      <c r="A42" s="61"/>
      <c r="B42" s="259"/>
      <c r="C42" s="259"/>
      <c r="D42" s="259"/>
      <c r="E42" s="259"/>
      <c r="F42" s="259"/>
      <c r="G42" s="259"/>
      <c r="H42" s="259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 customHeight="1" x14ac:dyDescent="0.2">
      <c r="A43" s="61"/>
      <c r="B43" s="259"/>
      <c r="C43" s="259"/>
      <c r="D43" s="259"/>
      <c r="E43" s="259"/>
      <c r="F43" s="259"/>
      <c r="G43" s="259"/>
      <c r="H43" s="259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2.7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2.75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2.75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2.7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2.7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2.7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2.7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2.7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2.7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2.7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2.7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2.7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2.7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2.7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2.7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2.7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2.7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2.7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.7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.7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.7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.7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.7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2.7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2.7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2.7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2.7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 customHeight="1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2.75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 customHeight="1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 customHeight="1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 customHeight="1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 customHeight="1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2.75" customHeight="1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2.75" customHeight="1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 customHeight="1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 customHeight="1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 customHeight="1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2.75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 customHeight="1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2.75" customHeight="1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2.75" customHeight="1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2.7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2.75" customHeight="1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2.7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2.75" customHeight="1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2.7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2.7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2.75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2.75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2.75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2.75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75" customHeight="1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 customHeight="1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75" customHeight="1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75" customHeight="1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75" customHeight="1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75" customHeight="1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75" customHeight="1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 customHeight="1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 customHeight="1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 customHeight="1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 customHeight="1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 customHeight="1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 customHeight="1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 customHeight="1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 customHeight="1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 customHeight="1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 customHeight="1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75" customHeight="1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 customHeight="1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75" customHeight="1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 customHeight="1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 customHeight="1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 customHeight="1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 customHeight="1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 customHeight="1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 customHeight="1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75" customHeight="1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 customHeight="1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75" customHeight="1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75" customHeight="1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75" customHeight="1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75" customHeight="1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75" customHeight="1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 customHeight="1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75" customHeight="1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 customHeight="1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 customHeight="1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 customHeight="1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 customHeight="1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 customHeight="1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 customHeight="1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 customHeight="1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75" customHeight="1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 customHeight="1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75" customHeight="1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 customHeight="1" x14ac:dyDescent="0.2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75" customHeight="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 customHeight="1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75" customHeight="1" x14ac:dyDescent="0.2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 customHeight="1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 customHeight="1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 customHeight="1" x14ac:dyDescent="0.2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 customHeight="1" x14ac:dyDescent="0.2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 customHeight="1" x14ac:dyDescent="0.2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 customHeight="1" x14ac:dyDescent="0.2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 x14ac:dyDescent="0.2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 customHeight="1" x14ac:dyDescent="0.2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 x14ac:dyDescent="0.2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 customHeight="1" x14ac:dyDescent="0.2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 x14ac:dyDescent="0.2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 customHeight="1" x14ac:dyDescent="0.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 x14ac:dyDescent="0.2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 x14ac:dyDescent="0.2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 x14ac:dyDescent="0.2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 customHeight="1" x14ac:dyDescent="0.2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75" customHeight="1" x14ac:dyDescent="0.2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 customHeight="1" x14ac:dyDescent="0.2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75" customHeight="1" x14ac:dyDescent="0.2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75" customHeight="1" x14ac:dyDescent="0.2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2.75" customHeight="1" x14ac:dyDescent="0.2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2.75" customHeight="1" x14ac:dyDescent="0.2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2.75" customHeight="1" x14ac:dyDescent="0.2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2.75" customHeight="1" x14ac:dyDescent="0.2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2.75" customHeight="1" x14ac:dyDescent="0.2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75" customHeight="1" x14ac:dyDescent="0.2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75" customHeight="1" x14ac:dyDescent="0.2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75" customHeight="1" x14ac:dyDescent="0.2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75" customHeight="1" x14ac:dyDescent="0.2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2.75" customHeight="1" x14ac:dyDescent="0.2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75" customHeight="1" x14ac:dyDescent="0.2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75" customHeight="1" x14ac:dyDescent="0.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75" customHeight="1" x14ac:dyDescent="0.2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2.75" customHeight="1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7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75" customHeight="1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75" customHeight="1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75" customHeight="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7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75" customHeight="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75" customHeight="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75" customHeight="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75" customHeight="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75" customHeight="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75" customHeight="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75" customHeight="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75" customHeight="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75" customHeight="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75" customHeight="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75" customHeight="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75" customHeight="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75" customHeight="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75" customHeight="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75" customHeight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75" customHeight="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75" customHeight="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75" customHeight="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75" customHeight="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75" customHeight="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7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75" customHeight="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75" customHeight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75" customHeight="1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75" customHeight="1" x14ac:dyDescent="0.2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7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75" customHeight="1" x14ac:dyDescent="0.2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7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75" customHeight="1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75" customHeight="1" x14ac:dyDescent="0.2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75" customHeight="1" x14ac:dyDescent="0.2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75" customHeight="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2.7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2.75" customHeight="1" x14ac:dyDescent="0.2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2.75" customHeight="1" x14ac:dyDescent="0.2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2.75" customHeight="1" x14ac:dyDescent="0.2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2.75" customHeight="1" x14ac:dyDescent="0.2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2.7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2.75" customHeight="1" x14ac:dyDescent="0.2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2.7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2.75" customHeight="1" x14ac:dyDescent="0.2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2.75" customHeight="1" x14ac:dyDescent="0.2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2.7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2.75" customHeight="1" x14ac:dyDescent="0.2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2.75" customHeight="1" x14ac:dyDescent="0.2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2.75" customHeight="1" x14ac:dyDescent="0.2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2.75" customHeight="1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2.75" customHeight="1" x14ac:dyDescent="0.2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2.75" customHeight="1" x14ac:dyDescent="0.2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2.75" customHeight="1" x14ac:dyDescent="0.2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2.75" customHeight="1" x14ac:dyDescent="0.2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2.75" customHeight="1" x14ac:dyDescent="0.2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2.75" customHeight="1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75" customHeight="1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75" customHeight="1" x14ac:dyDescent="0.2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2.75" customHeight="1" x14ac:dyDescent="0.2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2.75" customHeight="1" x14ac:dyDescent="0.2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75" customHeight="1" x14ac:dyDescent="0.2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2.75" customHeight="1" x14ac:dyDescent="0.2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2.75" customHeight="1" x14ac:dyDescent="0.2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75" customHeight="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75" customHeight="1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2.75" customHeight="1" x14ac:dyDescent="0.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2.75" customHeight="1" x14ac:dyDescent="0.2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75" customHeight="1" x14ac:dyDescent="0.2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2.75" customHeight="1" x14ac:dyDescent="0.2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2.75" customHeight="1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2.75" customHeight="1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2.75" customHeight="1" x14ac:dyDescent="0.2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75" customHeight="1" x14ac:dyDescent="0.2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75" customHeight="1" x14ac:dyDescent="0.2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2.75" customHeight="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75" customHeight="1" x14ac:dyDescent="0.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2.75" customHeight="1" x14ac:dyDescent="0.2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75" customHeight="1" x14ac:dyDescent="0.2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75" customHeight="1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7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2.75" customHeight="1" x14ac:dyDescent="0.2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2.75" customHeight="1" x14ac:dyDescent="0.2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2.75" customHeight="1" x14ac:dyDescent="0.2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2.75" customHeight="1" x14ac:dyDescent="0.2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2.7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2.75" customHeight="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2.75" customHeight="1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2.75" customHeight="1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2.75" customHeight="1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2.75" customHeight="1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2.75" customHeight="1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2.75" customHeight="1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2.75" customHeight="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2.75" customHeight="1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2.75" customHeight="1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2.75" customHeight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2.75" customHeight="1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2.75" customHeight="1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2.75" customHeight="1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2.75" customHeight="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2.75" customHeight="1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2.75" customHeight="1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2.75" customHeight="1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2.75" customHeight="1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2.75" customHeight="1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2.75" customHeight="1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2.75" customHeight="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2.75" customHeight="1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2.75" customHeight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2.75" customHeight="1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2.75" customHeight="1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2.75" customHeight="1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2.75" customHeight="1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2.75" customHeight="1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2.75" customHeight="1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75" customHeight="1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2.75" customHeight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75" customHeight="1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2.75" customHeight="1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2.75" customHeight="1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2.75" customHeight="1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2.75" customHeight="1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75" customHeight="1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2.75" customHeight="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75" customHeight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2.75" customHeight="1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75" customHeight="1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2.75" customHeight="1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75" customHeight="1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2.75" customHeight="1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75" customHeight="1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75" customHeight="1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75" customHeight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75" customHeight="1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2.75" customHeight="1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2.75" customHeight="1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75" customHeight="1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75" customHeight="1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75" customHeight="1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2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2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2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2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2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2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2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2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2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2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2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2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2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2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2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2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2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2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2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2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2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2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2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2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2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2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2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2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2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2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2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2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2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2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2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2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2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2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2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2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2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2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2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2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2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2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2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2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2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2.75" customHeight="1" x14ac:dyDescent="0.2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  <row r="1002" spans="1:26" ht="12.75" customHeight="1" x14ac:dyDescent="0.2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</row>
  </sheetData>
  <mergeCells count="24">
    <mergeCell ref="D38:E38"/>
    <mergeCell ref="D39:E39"/>
    <mergeCell ref="D27:G27"/>
    <mergeCell ref="D28:E28"/>
    <mergeCell ref="F29:G29"/>
    <mergeCell ref="F31:G31"/>
    <mergeCell ref="C34:D34"/>
    <mergeCell ref="C35:D35"/>
    <mergeCell ref="C36:D36"/>
    <mergeCell ref="C22:G22"/>
    <mergeCell ref="C23:G23"/>
    <mergeCell ref="C24:G24"/>
    <mergeCell ref="C25:G25"/>
    <mergeCell ref="D37:E37"/>
    <mergeCell ref="E14:F14"/>
    <mergeCell ref="E15:F15"/>
    <mergeCell ref="E16:F16"/>
    <mergeCell ref="C20:G20"/>
    <mergeCell ref="C21:G21"/>
    <mergeCell ref="D6:G7"/>
    <mergeCell ref="E10:F10"/>
    <mergeCell ref="E11:F11"/>
    <mergeCell ref="E12:F12"/>
    <mergeCell ref="E13:F13"/>
  </mergeCells>
  <printOptions horizontalCentered="1"/>
  <pageMargins left="0.39305555555555599" right="0.39305555555555599" top="0.39305555555555599" bottom="0.39305555555555599" header="0" footer="0"/>
  <pageSetup paperSize="9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Z1008"/>
  <sheetViews>
    <sheetView showGridLines="0" topLeftCell="A94" workbookViewId="0">
      <selection activeCell="G105" sqref="G105"/>
    </sheetView>
  </sheetViews>
  <sheetFormatPr defaultColWidth="12.625" defaultRowHeight="15" customHeight="1" x14ac:dyDescent="0.2"/>
  <cols>
    <col min="1" max="1" width="43.25" customWidth="1"/>
    <col min="2" max="2" width="8.875" customWidth="1"/>
    <col min="3" max="3" width="11.875" customWidth="1"/>
    <col min="4" max="4" width="10.875" customWidth="1"/>
    <col min="5" max="5" width="10" customWidth="1"/>
    <col min="6" max="6" width="12.875" customWidth="1"/>
    <col min="7" max="7" width="9.375" customWidth="1"/>
    <col min="8" max="8" width="8" customWidth="1"/>
    <col min="9" max="26" width="7.875" customWidth="1"/>
  </cols>
  <sheetData>
    <row r="1" spans="1:26" ht="18.75" customHeight="1" x14ac:dyDescent="0.2">
      <c r="A1" s="322" t="s">
        <v>90</v>
      </c>
      <c r="B1" s="311"/>
      <c r="C1" s="311"/>
      <c r="D1" s="311"/>
      <c r="E1" s="311"/>
      <c r="F1" s="3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323" t="s">
        <v>91</v>
      </c>
      <c r="B2" s="311"/>
      <c r="C2" s="311"/>
      <c r="D2" s="311"/>
      <c r="E2" s="311"/>
      <c r="F2" s="3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61"/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324"/>
      <c r="B4" s="311"/>
      <c r="C4" s="311"/>
      <c r="D4" s="311"/>
      <c r="E4" s="311"/>
      <c r="F4" s="3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62" t="s">
        <v>92</v>
      </c>
      <c r="B5" s="62" t="s">
        <v>93</v>
      </c>
      <c r="C5" s="62" t="s">
        <v>94</v>
      </c>
      <c r="D5" s="62" t="s">
        <v>95</v>
      </c>
      <c r="E5" s="63" t="s">
        <v>96</v>
      </c>
      <c r="F5" s="63" t="s">
        <v>97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64" t="s">
        <v>98</v>
      </c>
      <c r="B6" s="65" t="s">
        <v>99</v>
      </c>
      <c r="C6" s="66">
        <v>30</v>
      </c>
      <c r="D6" s="65">
        <f t="shared" ref="D6:D38" si="0">C6*12</f>
        <v>360</v>
      </c>
      <c r="E6" s="67"/>
      <c r="F6" s="68">
        <f t="shared" ref="F6:F38" si="1"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69" t="s">
        <v>100</v>
      </c>
      <c r="B7" s="66" t="s">
        <v>101</v>
      </c>
      <c r="C7" s="66">
        <v>200</v>
      </c>
      <c r="D7" s="65">
        <f t="shared" si="0"/>
        <v>2400</v>
      </c>
      <c r="E7" s="67"/>
      <c r="F7" s="68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64" t="s">
        <v>102</v>
      </c>
      <c r="B8" s="65" t="s">
        <v>99</v>
      </c>
      <c r="C8" s="65">
        <v>12</v>
      </c>
      <c r="D8" s="65">
        <f t="shared" si="0"/>
        <v>144</v>
      </c>
      <c r="E8" s="67"/>
      <c r="F8" s="68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64" t="s">
        <v>103</v>
      </c>
      <c r="B9" s="65" t="s">
        <v>99</v>
      </c>
      <c r="C9" s="65">
        <v>10</v>
      </c>
      <c r="D9" s="65">
        <f t="shared" si="0"/>
        <v>120</v>
      </c>
      <c r="E9" s="67"/>
      <c r="F9" s="68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70" t="s">
        <v>104</v>
      </c>
      <c r="B10" s="71" t="s">
        <v>101</v>
      </c>
      <c r="C10" s="72">
        <v>80</v>
      </c>
      <c r="D10" s="65">
        <f t="shared" si="0"/>
        <v>960</v>
      </c>
      <c r="E10" s="67"/>
      <c r="F10" s="68">
        <f t="shared" si="1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64" t="s">
        <v>105</v>
      </c>
      <c r="B11" s="71" t="s">
        <v>101</v>
      </c>
      <c r="C11" s="73">
        <v>10</v>
      </c>
      <c r="D11" s="65">
        <f t="shared" si="0"/>
        <v>120</v>
      </c>
      <c r="E11" s="67"/>
      <c r="F11" s="68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74" t="s">
        <v>106</v>
      </c>
      <c r="B12" s="71" t="s">
        <v>101</v>
      </c>
      <c r="C12" s="73">
        <v>1</v>
      </c>
      <c r="D12" s="65">
        <f t="shared" si="0"/>
        <v>12</v>
      </c>
      <c r="E12" s="67"/>
      <c r="F12" s="68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64" t="s">
        <v>107</v>
      </c>
      <c r="B13" s="71" t="s">
        <v>108</v>
      </c>
      <c r="C13" s="73">
        <v>30</v>
      </c>
      <c r="D13" s="65">
        <f t="shared" si="0"/>
        <v>360</v>
      </c>
      <c r="E13" s="67"/>
      <c r="F13" s="68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64" t="s">
        <v>109</v>
      </c>
      <c r="B14" s="71" t="s">
        <v>101</v>
      </c>
      <c r="C14" s="73">
        <v>60</v>
      </c>
      <c r="D14" s="65">
        <f t="shared" si="0"/>
        <v>720</v>
      </c>
      <c r="E14" s="67"/>
      <c r="F14" s="68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64" t="s">
        <v>110</v>
      </c>
      <c r="B15" s="71" t="s">
        <v>108</v>
      </c>
      <c r="C15" s="72">
        <v>40</v>
      </c>
      <c r="D15" s="65">
        <f t="shared" si="0"/>
        <v>480</v>
      </c>
      <c r="E15" s="67"/>
      <c r="F15" s="68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75" t="s">
        <v>111</v>
      </c>
      <c r="B16" s="65" t="s">
        <v>101</v>
      </c>
      <c r="C16" s="73">
        <v>40</v>
      </c>
      <c r="D16" s="65">
        <f t="shared" si="0"/>
        <v>480</v>
      </c>
      <c r="E16" s="67"/>
      <c r="F16" s="68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76" t="s">
        <v>112</v>
      </c>
      <c r="B17" s="66" t="s">
        <v>101</v>
      </c>
      <c r="C17" s="72">
        <v>4</v>
      </c>
      <c r="D17" s="65">
        <f t="shared" si="0"/>
        <v>48</v>
      </c>
      <c r="E17" s="67"/>
      <c r="F17" s="68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74" t="s">
        <v>113</v>
      </c>
      <c r="B18" s="65" t="s">
        <v>108</v>
      </c>
      <c r="C18" s="73">
        <v>40</v>
      </c>
      <c r="D18" s="65">
        <f t="shared" si="0"/>
        <v>480</v>
      </c>
      <c r="E18" s="67"/>
      <c r="F18" s="68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75" t="s">
        <v>114</v>
      </c>
      <c r="B19" s="65" t="s">
        <v>115</v>
      </c>
      <c r="C19" s="72">
        <v>40</v>
      </c>
      <c r="D19" s="65">
        <f t="shared" si="0"/>
        <v>480</v>
      </c>
      <c r="E19" s="67"/>
      <c r="F19" s="68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75" t="s">
        <v>116</v>
      </c>
      <c r="B20" s="65" t="s">
        <v>117</v>
      </c>
      <c r="C20" s="73">
        <v>5</v>
      </c>
      <c r="D20" s="65">
        <f t="shared" si="0"/>
        <v>60</v>
      </c>
      <c r="E20" s="67"/>
      <c r="F20" s="68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74" t="s">
        <v>118</v>
      </c>
      <c r="B21" s="65" t="s">
        <v>115</v>
      </c>
      <c r="C21" s="73">
        <v>15</v>
      </c>
      <c r="D21" s="65">
        <f t="shared" si="0"/>
        <v>180</v>
      </c>
      <c r="E21" s="67"/>
      <c r="F21" s="68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75" t="s">
        <v>119</v>
      </c>
      <c r="B22" s="65" t="s">
        <v>115</v>
      </c>
      <c r="C22" s="72">
        <v>2</v>
      </c>
      <c r="D22" s="65">
        <f t="shared" si="0"/>
        <v>24</v>
      </c>
      <c r="E22" s="67"/>
      <c r="F22" s="68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74" t="s">
        <v>120</v>
      </c>
      <c r="B23" s="65" t="s">
        <v>115</v>
      </c>
      <c r="C23" s="72">
        <v>60</v>
      </c>
      <c r="D23" s="65">
        <f t="shared" si="0"/>
        <v>720</v>
      </c>
      <c r="E23" s="67"/>
      <c r="F23" s="68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74" t="s">
        <v>121</v>
      </c>
      <c r="B24" s="65" t="s">
        <v>115</v>
      </c>
      <c r="C24" s="73">
        <v>50</v>
      </c>
      <c r="D24" s="65">
        <f t="shared" si="0"/>
        <v>600</v>
      </c>
      <c r="E24" s="67"/>
      <c r="F24" s="68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74" t="s">
        <v>122</v>
      </c>
      <c r="B25" s="65" t="s">
        <v>108</v>
      </c>
      <c r="C25" s="73">
        <v>10</v>
      </c>
      <c r="D25" s="65">
        <f t="shared" si="0"/>
        <v>120</v>
      </c>
      <c r="E25" s="67"/>
      <c r="F25" s="68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74" t="s">
        <v>123</v>
      </c>
      <c r="B26" s="65" t="s">
        <v>124</v>
      </c>
      <c r="C26" s="73">
        <v>50</v>
      </c>
      <c r="D26" s="65">
        <f t="shared" si="0"/>
        <v>600</v>
      </c>
      <c r="E26" s="67"/>
      <c r="F26" s="68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64" t="s">
        <v>125</v>
      </c>
      <c r="B27" s="71" t="s">
        <v>101</v>
      </c>
      <c r="C27" s="77">
        <v>2</v>
      </c>
      <c r="D27" s="65">
        <f t="shared" si="0"/>
        <v>24</v>
      </c>
      <c r="E27" s="67"/>
      <c r="F27" s="68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64" t="s">
        <v>126</v>
      </c>
      <c r="B28" s="71" t="s">
        <v>101</v>
      </c>
      <c r="C28" s="78">
        <v>3</v>
      </c>
      <c r="D28" s="65">
        <f t="shared" si="0"/>
        <v>36</v>
      </c>
      <c r="E28" s="67"/>
      <c r="F28" s="68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70" t="s">
        <v>127</v>
      </c>
      <c r="B29" s="71" t="s">
        <v>128</v>
      </c>
      <c r="C29" s="77">
        <v>1</v>
      </c>
      <c r="D29" s="65">
        <f t="shared" si="0"/>
        <v>12</v>
      </c>
      <c r="E29" s="67"/>
      <c r="F29" s="68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64" t="s">
        <v>129</v>
      </c>
      <c r="B30" s="71" t="s">
        <v>128</v>
      </c>
      <c r="C30" s="77">
        <v>4</v>
      </c>
      <c r="D30" s="65">
        <f t="shared" si="0"/>
        <v>48</v>
      </c>
      <c r="E30" s="67"/>
      <c r="F30" s="68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64" t="s">
        <v>130</v>
      </c>
      <c r="B31" s="71" t="s">
        <v>128</v>
      </c>
      <c r="C31" s="78">
        <v>32</v>
      </c>
      <c r="D31" s="65">
        <f t="shared" si="0"/>
        <v>384</v>
      </c>
      <c r="E31" s="67"/>
      <c r="F31" s="68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64" t="s">
        <v>131</v>
      </c>
      <c r="B32" s="71" t="s">
        <v>132</v>
      </c>
      <c r="C32" s="77">
        <v>20</v>
      </c>
      <c r="D32" s="65">
        <f t="shared" si="0"/>
        <v>240</v>
      </c>
      <c r="E32" s="67"/>
      <c r="F32" s="68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64" t="s">
        <v>133</v>
      </c>
      <c r="B33" s="71" t="s">
        <v>132</v>
      </c>
      <c r="C33" s="77">
        <v>20</v>
      </c>
      <c r="D33" s="65">
        <f t="shared" si="0"/>
        <v>240</v>
      </c>
      <c r="E33" s="67"/>
      <c r="F33" s="68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64" t="s">
        <v>134</v>
      </c>
      <c r="B34" s="71" t="s">
        <v>132</v>
      </c>
      <c r="C34" s="77">
        <v>60</v>
      </c>
      <c r="D34" s="65">
        <f t="shared" si="0"/>
        <v>720</v>
      </c>
      <c r="E34" s="67"/>
      <c r="F34" s="68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64" t="s">
        <v>135</v>
      </c>
      <c r="B35" s="71" t="s">
        <v>132</v>
      </c>
      <c r="C35" s="77">
        <v>60</v>
      </c>
      <c r="D35" s="65">
        <f t="shared" si="0"/>
        <v>720</v>
      </c>
      <c r="E35" s="67"/>
      <c r="F35" s="68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69" t="s">
        <v>136</v>
      </c>
      <c r="B36" s="79" t="s">
        <v>132</v>
      </c>
      <c r="C36" s="78">
        <v>8</v>
      </c>
      <c r="D36" s="65">
        <f t="shared" si="0"/>
        <v>96</v>
      </c>
      <c r="E36" s="67"/>
      <c r="F36" s="68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64" t="s">
        <v>137</v>
      </c>
      <c r="B37" s="71" t="s">
        <v>138</v>
      </c>
      <c r="C37" s="77">
        <v>1</v>
      </c>
      <c r="D37" s="65">
        <f t="shared" si="0"/>
        <v>12</v>
      </c>
      <c r="E37" s="67"/>
      <c r="F37" s="68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70" t="s">
        <v>139</v>
      </c>
      <c r="B38" s="66" t="s">
        <v>115</v>
      </c>
      <c r="C38" s="72">
        <v>1</v>
      </c>
      <c r="D38" s="65">
        <f t="shared" si="0"/>
        <v>12</v>
      </c>
      <c r="E38" s="67"/>
      <c r="F38" s="68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325" t="s">
        <v>140</v>
      </c>
      <c r="B39" s="318"/>
      <c r="C39" s="318"/>
      <c r="D39" s="318"/>
      <c r="E39" s="316"/>
      <c r="F39" s="80">
        <f>SUM(F6:F38)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325" t="s">
        <v>141</v>
      </c>
      <c r="B40" s="318"/>
      <c r="C40" s="318"/>
      <c r="D40" s="318"/>
      <c r="E40" s="316"/>
      <c r="F40" s="80">
        <f>F39/12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81"/>
      <c r="B41" s="82"/>
      <c r="C41" s="82"/>
      <c r="D41" s="82"/>
      <c r="E41" s="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62" t="s">
        <v>142</v>
      </c>
      <c r="B42" s="62" t="s">
        <v>93</v>
      </c>
      <c r="C42" s="62" t="s">
        <v>94</v>
      </c>
      <c r="D42" s="62" t="s">
        <v>95</v>
      </c>
      <c r="E42" s="63" t="s">
        <v>96</v>
      </c>
      <c r="F42" s="63" t="s">
        <v>97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64" t="s">
        <v>143</v>
      </c>
      <c r="B43" s="71" t="s">
        <v>144</v>
      </c>
      <c r="C43" s="77">
        <v>3</v>
      </c>
      <c r="D43" s="73">
        <f t="shared" ref="D43:D46" si="2">C43*12</f>
        <v>36</v>
      </c>
      <c r="E43" s="67"/>
      <c r="F43" s="84">
        <f t="shared" ref="F43:F46" si="3"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64" t="s">
        <v>145</v>
      </c>
      <c r="B44" s="71" t="s">
        <v>146</v>
      </c>
      <c r="C44" s="77">
        <v>50</v>
      </c>
      <c r="D44" s="73">
        <f t="shared" si="2"/>
        <v>600</v>
      </c>
      <c r="E44" s="67"/>
      <c r="F44" s="84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85" t="s">
        <v>147</v>
      </c>
      <c r="B45" s="71" t="s">
        <v>148</v>
      </c>
      <c r="C45" s="78">
        <v>424</v>
      </c>
      <c r="D45" s="73">
        <f t="shared" si="2"/>
        <v>5088</v>
      </c>
      <c r="E45" s="67"/>
      <c r="F45" s="84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86" t="s">
        <v>149</v>
      </c>
      <c r="B46" s="65" t="s">
        <v>101</v>
      </c>
      <c r="C46" s="77">
        <v>5</v>
      </c>
      <c r="D46" s="73">
        <f t="shared" si="2"/>
        <v>60</v>
      </c>
      <c r="E46" s="67"/>
      <c r="F46" s="84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325" t="s">
        <v>150</v>
      </c>
      <c r="B47" s="318"/>
      <c r="C47" s="318"/>
      <c r="D47" s="318"/>
      <c r="E47" s="316"/>
      <c r="F47" s="87">
        <f>SUM(F43:F46)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325" t="s">
        <v>151</v>
      </c>
      <c r="B48" s="318"/>
      <c r="C48" s="318"/>
      <c r="D48" s="318"/>
      <c r="E48" s="316"/>
      <c r="F48" s="88">
        <f>F47/12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2"/>
      <c r="C49" s="2"/>
      <c r="D49" s="2"/>
      <c r="E49" s="89"/>
      <c r="F49" s="8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2" customHeight="1" x14ac:dyDescent="0.2">
      <c r="A50" s="90" t="s">
        <v>152</v>
      </c>
      <c r="B50" s="62" t="s">
        <v>93</v>
      </c>
      <c r="C50" s="62" t="s">
        <v>153</v>
      </c>
      <c r="D50" s="62" t="s">
        <v>154</v>
      </c>
      <c r="E50" s="62" t="s">
        <v>95</v>
      </c>
      <c r="F50" s="63" t="s">
        <v>96</v>
      </c>
      <c r="G50" s="63" t="s">
        <v>97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64" t="s">
        <v>155</v>
      </c>
      <c r="B51" s="91" t="s">
        <v>156</v>
      </c>
      <c r="C51" s="65">
        <v>8</v>
      </c>
      <c r="D51" s="73">
        <v>12</v>
      </c>
      <c r="E51" s="92">
        <f t="shared" ref="E51:E73" si="4">12/D51*C51</f>
        <v>8</v>
      </c>
      <c r="F51" s="67"/>
      <c r="G51" s="93">
        <f t="shared" ref="G51:G73" si="5">E51*F51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64" t="s">
        <v>157</v>
      </c>
      <c r="B52" s="91" t="s">
        <v>156</v>
      </c>
      <c r="C52" s="65">
        <v>20</v>
      </c>
      <c r="D52" s="73">
        <v>3</v>
      </c>
      <c r="E52" s="92">
        <f t="shared" si="4"/>
        <v>80</v>
      </c>
      <c r="F52" s="67"/>
      <c r="G52" s="93">
        <f t="shared" si="5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64" t="s">
        <v>158</v>
      </c>
      <c r="B53" s="91" t="s">
        <v>156</v>
      </c>
      <c r="C53" s="65">
        <v>2</v>
      </c>
      <c r="D53" s="73">
        <v>6</v>
      </c>
      <c r="E53" s="92">
        <f t="shared" si="4"/>
        <v>4</v>
      </c>
      <c r="F53" s="67"/>
      <c r="G53" s="93">
        <f t="shared" si="5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64" t="s">
        <v>159</v>
      </c>
      <c r="B54" s="91" t="s">
        <v>115</v>
      </c>
      <c r="C54" s="65">
        <v>2</v>
      </c>
      <c r="D54" s="73">
        <v>12</v>
      </c>
      <c r="E54" s="92">
        <f t="shared" si="4"/>
        <v>2</v>
      </c>
      <c r="F54" s="67"/>
      <c r="G54" s="93">
        <f t="shared" si="5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94" t="s">
        <v>160</v>
      </c>
      <c r="B55" s="65" t="s">
        <v>156</v>
      </c>
      <c r="C55" s="65">
        <v>1</v>
      </c>
      <c r="D55" s="73">
        <v>12</v>
      </c>
      <c r="E55" s="92">
        <f t="shared" si="4"/>
        <v>1</v>
      </c>
      <c r="F55" s="67"/>
      <c r="G55" s="93">
        <f t="shared" si="5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75" t="s">
        <v>161</v>
      </c>
      <c r="B56" s="65" t="s">
        <v>115</v>
      </c>
      <c r="C56" s="65">
        <v>7</v>
      </c>
      <c r="D56" s="73">
        <v>12</v>
      </c>
      <c r="E56" s="92">
        <f t="shared" si="4"/>
        <v>7</v>
      </c>
      <c r="F56" s="67"/>
      <c r="G56" s="93">
        <f t="shared" si="5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75" t="s">
        <v>162</v>
      </c>
      <c r="B57" s="65" t="s">
        <v>115</v>
      </c>
      <c r="C57" s="65">
        <v>1</v>
      </c>
      <c r="D57" s="73">
        <v>12</v>
      </c>
      <c r="E57" s="92">
        <f t="shared" si="4"/>
        <v>1</v>
      </c>
      <c r="F57" s="67"/>
      <c r="G57" s="93">
        <f t="shared" si="5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75" t="s">
        <v>163</v>
      </c>
      <c r="B58" s="65" t="s">
        <v>115</v>
      </c>
      <c r="C58" s="65">
        <v>7</v>
      </c>
      <c r="D58" s="73">
        <v>12</v>
      </c>
      <c r="E58" s="92">
        <f t="shared" si="4"/>
        <v>7</v>
      </c>
      <c r="F58" s="67"/>
      <c r="G58" s="93">
        <f t="shared" si="5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95" t="s">
        <v>164</v>
      </c>
      <c r="B59" s="65" t="s">
        <v>115</v>
      </c>
      <c r="C59" s="65">
        <v>20</v>
      </c>
      <c r="D59" s="73">
        <v>3</v>
      </c>
      <c r="E59" s="92">
        <f t="shared" si="4"/>
        <v>80</v>
      </c>
      <c r="F59" s="67"/>
      <c r="G59" s="93">
        <f t="shared" si="5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75" t="s">
        <v>165</v>
      </c>
      <c r="B60" s="65" t="s">
        <v>115</v>
      </c>
      <c r="C60" s="65">
        <v>7</v>
      </c>
      <c r="D60" s="73">
        <v>3</v>
      </c>
      <c r="E60" s="92">
        <f t="shared" si="4"/>
        <v>28</v>
      </c>
      <c r="F60" s="67"/>
      <c r="G60" s="93">
        <f t="shared" si="5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75" t="s">
        <v>166</v>
      </c>
      <c r="B61" s="65" t="s">
        <v>115</v>
      </c>
      <c r="C61" s="65">
        <v>7</v>
      </c>
      <c r="D61" s="73">
        <v>12</v>
      </c>
      <c r="E61" s="92">
        <f t="shared" si="4"/>
        <v>7</v>
      </c>
      <c r="F61" s="67"/>
      <c r="G61" s="93">
        <f t="shared" si="5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95" t="s">
        <v>167</v>
      </c>
      <c r="B62" s="65" t="s">
        <v>115</v>
      </c>
      <c r="C62" s="65">
        <v>15</v>
      </c>
      <c r="D62" s="73">
        <v>12</v>
      </c>
      <c r="E62" s="92">
        <f t="shared" si="4"/>
        <v>15</v>
      </c>
      <c r="F62" s="67"/>
      <c r="G62" s="93">
        <f t="shared" si="5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75" t="s">
        <v>168</v>
      </c>
      <c r="B63" s="65" t="s">
        <v>101</v>
      </c>
      <c r="C63" s="65">
        <v>1</v>
      </c>
      <c r="D63" s="73">
        <v>6</v>
      </c>
      <c r="E63" s="92">
        <f t="shared" si="4"/>
        <v>2</v>
      </c>
      <c r="F63" s="67"/>
      <c r="G63" s="93">
        <f t="shared" si="5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75" t="s">
        <v>169</v>
      </c>
      <c r="B64" s="65" t="s">
        <v>115</v>
      </c>
      <c r="C64" s="65">
        <v>3</v>
      </c>
      <c r="D64" s="73">
        <v>24</v>
      </c>
      <c r="E64" s="92">
        <f t="shared" si="4"/>
        <v>1.5</v>
      </c>
      <c r="F64" s="67"/>
      <c r="G64" s="93">
        <f t="shared" si="5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75" t="s">
        <v>170</v>
      </c>
      <c r="B65" s="65" t="s">
        <v>115</v>
      </c>
      <c r="C65" s="65">
        <v>1</v>
      </c>
      <c r="D65" s="73">
        <v>12</v>
      </c>
      <c r="E65" s="92">
        <f t="shared" si="4"/>
        <v>1</v>
      </c>
      <c r="F65" s="67"/>
      <c r="G65" s="93">
        <f t="shared" si="5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95" t="s">
        <v>171</v>
      </c>
      <c r="B66" s="65" t="s">
        <v>115</v>
      </c>
      <c r="C66" s="65">
        <v>1</v>
      </c>
      <c r="D66" s="73">
        <v>12</v>
      </c>
      <c r="E66" s="92">
        <f t="shared" si="4"/>
        <v>1</v>
      </c>
      <c r="F66" s="67"/>
      <c r="G66" s="93">
        <f t="shared" si="5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95" t="s">
        <v>172</v>
      </c>
      <c r="B67" s="65" t="s">
        <v>115</v>
      </c>
      <c r="C67" s="65">
        <v>40</v>
      </c>
      <c r="D67" s="73">
        <v>12</v>
      </c>
      <c r="E67" s="92">
        <f t="shared" si="4"/>
        <v>40</v>
      </c>
      <c r="F67" s="67"/>
      <c r="G67" s="93">
        <f t="shared" si="5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95" t="s">
        <v>173</v>
      </c>
      <c r="B68" s="65" t="s">
        <v>115</v>
      </c>
      <c r="C68" s="65">
        <v>100</v>
      </c>
      <c r="D68" s="73">
        <v>12</v>
      </c>
      <c r="E68" s="92">
        <f t="shared" si="4"/>
        <v>100</v>
      </c>
      <c r="F68" s="67"/>
      <c r="G68" s="93">
        <f t="shared" si="5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95" t="s">
        <v>174</v>
      </c>
      <c r="B69" s="65" t="s">
        <v>115</v>
      </c>
      <c r="C69" s="65">
        <v>40</v>
      </c>
      <c r="D69" s="73">
        <v>12</v>
      </c>
      <c r="E69" s="92">
        <f t="shared" si="4"/>
        <v>40</v>
      </c>
      <c r="F69" s="67"/>
      <c r="G69" s="93">
        <f t="shared" si="5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95" t="s">
        <v>175</v>
      </c>
      <c r="B70" s="65" t="s">
        <v>115</v>
      </c>
      <c r="C70" s="66">
        <v>30</v>
      </c>
      <c r="D70" s="73">
        <v>12</v>
      </c>
      <c r="E70" s="92">
        <f t="shared" si="4"/>
        <v>30</v>
      </c>
      <c r="F70" s="67"/>
      <c r="G70" s="93">
        <f t="shared" si="5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76" t="s">
        <v>176</v>
      </c>
      <c r="B71" s="66" t="s">
        <v>115</v>
      </c>
      <c r="C71" s="66">
        <v>10</v>
      </c>
      <c r="D71" s="73">
        <v>12</v>
      </c>
      <c r="E71" s="92">
        <f t="shared" si="4"/>
        <v>10</v>
      </c>
      <c r="F71" s="67"/>
      <c r="G71" s="93">
        <f t="shared" si="5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96" t="s">
        <v>177</v>
      </c>
      <c r="B72" s="66" t="s">
        <v>115</v>
      </c>
      <c r="C72" s="66">
        <v>10</v>
      </c>
      <c r="D72" s="73">
        <v>12</v>
      </c>
      <c r="E72" s="92">
        <f t="shared" si="4"/>
        <v>10</v>
      </c>
      <c r="F72" s="67"/>
      <c r="G72" s="93">
        <f t="shared" si="5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74" t="s">
        <v>178</v>
      </c>
      <c r="B73" s="65" t="s">
        <v>115</v>
      </c>
      <c r="C73" s="65">
        <v>5</v>
      </c>
      <c r="D73" s="73">
        <v>6</v>
      </c>
      <c r="E73" s="92">
        <f t="shared" si="4"/>
        <v>10</v>
      </c>
      <c r="F73" s="67"/>
      <c r="G73" s="93">
        <f t="shared" si="5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328" t="s">
        <v>179</v>
      </c>
      <c r="B74" s="318"/>
      <c r="C74" s="318"/>
      <c r="D74" s="318"/>
      <c r="E74" s="318"/>
      <c r="F74" s="316"/>
      <c r="G74" s="97">
        <f>SUM(G51:G73)</f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328" t="s">
        <v>180</v>
      </c>
      <c r="B75" s="318"/>
      <c r="C75" s="318"/>
      <c r="D75" s="318"/>
      <c r="E75" s="318"/>
      <c r="F75" s="316"/>
      <c r="G75" s="97">
        <f>G74/12</f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2"/>
      <c r="C76" s="2"/>
      <c r="D76" s="2"/>
      <c r="E76" s="89"/>
      <c r="F76" s="8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98" t="s">
        <v>181</v>
      </c>
      <c r="B77" s="62" t="s">
        <v>93</v>
      </c>
      <c r="C77" s="62" t="s">
        <v>153</v>
      </c>
      <c r="D77" s="62" t="s">
        <v>182</v>
      </c>
      <c r="E77" s="62" t="s">
        <v>95</v>
      </c>
      <c r="F77" s="63" t="s">
        <v>96</v>
      </c>
      <c r="G77" s="63" t="s">
        <v>97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95" t="s">
        <v>183</v>
      </c>
      <c r="B78" s="73" t="s">
        <v>115</v>
      </c>
      <c r="C78" s="73">
        <v>1</v>
      </c>
      <c r="D78" s="73">
        <v>60</v>
      </c>
      <c r="E78" s="92">
        <f t="shared" ref="E78:E93" si="6">12/D78*C78</f>
        <v>0.2</v>
      </c>
      <c r="F78" s="67"/>
      <c r="G78" s="84">
        <f t="shared" ref="G78:G93" si="7">E78*F78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95" t="s">
        <v>184</v>
      </c>
      <c r="B79" s="73" t="s">
        <v>115</v>
      </c>
      <c r="C79" s="73">
        <v>3</v>
      </c>
      <c r="D79" s="73">
        <v>60</v>
      </c>
      <c r="E79" s="92">
        <f t="shared" si="6"/>
        <v>0.60000000000000009</v>
      </c>
      <c r="F79" s="67"/>
      <c r="G79" s="84">
        <f t="shared" si="7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99" t="s">
        <v>185</v>
      </c>
      <c r="B80" s="72" t="s">
        <v>115</v>
      </c>
      <c r="C80" s="72">
        <v>1</v>
      </c>
      <c r="D80" s="73">
        <v>60</v>
      </c>
      <c r="E80" s="92">
        <f t="shared" si="6"/>
        <v>0.2</v>
      </c>
      <c r="F80" s="67"/>
      <c r="G80" s="84">
        <f t="shared" si="7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95" t="s">
        <v>186</v>
      </c>
      <c r="B81" s="73" t="s">
        <v>115</v>
      </c>
      <c r="C81" s="73">
        <v>2</v>
      </c>
      <c r="D81" s="73">
        <v>60</v>
      </c>
      <c r="E81" s="92">
        <f t="shared" si="6"/>
        <v>0.4</v>
      </c>
      <c r="F81" s="67"/>
      <c r="G81" s="84">
        <f t="shared" si="7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95" t="s">
        <v>187</v>
      </c>
      <c r="B82" s="73" t="s">
        <v>115</v>
      </c>
      <c r="C82" s="73">
        <v>1</v>
      </c>
      <c r="D82" s="73">
        <v>60</v>
      </c>
      <c r="E82" s="92">
        <f t="shared" si="6"/>
        <v>0.2</v>
      </c>
      <c r="F82" s="67"/>
      <c r="G82" s="84">
        <f t="shared" si="7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75" t="s">
        <v>188</v>
      </c>
      <c r="B83" s="65" t="s">
        <v>115</v>
      </c>
      <c r="C83" s="65">
        <v>1</v>
      </c>
      <c r="D83" s="73">
        <v>60</v>
      </c>
      <c r="E83" s="92">
        <f t="shared" si="6"/>
        <v>0.2</v>
      </c>
      <c r="F83" s="67"/>
      <c r="G83" s="84">
        <f t="shared" si="7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75" t="s">
        <v>189</v>
      </c>
      <c r="B84" s="65" t="s">
        <v>115</v>
      </c>
      <c r="C84" s="65">
        <v>1</v>
      </c>
      <c r="D84" s="73">
        <v>60</v>
      </c>
      <c r="E84" s="92">
        <f t="shared" si="6"/>
        <v>0.2</v>
      </c>
      <c r="F84" s="67"/>
      <c r="G84" s="84">
        <f t="shared" si="7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75" t="s">
        <v>190</v>
      </c>
      <c r="B85" s="65" t="s">
        <v>115</v>
      </c>
      <c r="C85" s="65">
        <v>10</v>
      </c>
      <c r="D85" s="73">
        <v>60</v>
      </c>
      <c r="E85" s="92">
        <f t="shared" si="6"/>
        <v>2</v>
      </c>
      <c r="F85" s="67"/>
      <c r="G85" s="84">
        <f t="shared" si="7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75" t="s">
        <v>191</v>
      </c>
      <c r="B86" s="65" t="s">
        <v>115</v>
      </c>
      <c r="C86" s="65">
        <v>1</v>
      </c>
      <c r="D86" s="73">
        <v>60</v>
      </c>
      <c r="E86" s="92">
        <f t="shared" si="6"/>
        <v>0.2</v>
      </c>
      <c r="F86" s="67"/>
      <c r="G86" s="84">
        <f t="shared" si="7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75" t="s">
        <v>192</v>
      </c>
      <c r="B87" s="65" t="s">
        <v>115</v>
      </c>
      <c r="C87" s="65">
        <v>1</v>
      </c>
      <c r="D87" s="73">
        <v>60</v>
      </c>
      <c r="E87" s="92">
        <f t="shared" si="6"/>
        <v>0.2</v>
      </c>
      <c r="F87" s="67"/>
      <c r="G87" s="84">
        <f t="shared" si="7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00" t="s">
        <v>193</v>
      </c>
      <c r="B88" s="65" t="s">
        <v>115</v>
      </c>
      <c r="C88" s="65">
        <v>1</v>
      </c>
      <c r="D88" s="73">
        <v>60</v>
      </c>
      <c r="E88" s="92">
        <f t="shared" si="6"/>
        <v>0.2</v>
      </c>
      <c r="F88" s="67"/>
      <c r="G88" s="84">
        <f t="shared" si="7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00" t="s">
        <v>194</v>
      </c>
      <c r="B89" s="65" t="s">
        <v>115</v>
      </c>
      <c r="C89" s="65">
        <v>1</v>
      </c>
      <c r="D89" s="73">
        <v>60</v>
      </c>
      <c r="E89" s="92">
        <f t="shared" si="6"/>
        <v>0.2</v>
      </c>
      <c r="F89" s="67"/>
      <c r="G89" s="84">
        <f t="shared" si="7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00" t="s">
        <v>195</v>
      </c>
      <c r="B90" s="65" t="s">
        <v>115</v>
      </c>
      <c r="C90" s="66">
        <v>2</v>
      </c>
      <c r="D90" s="73">
        <v>60</v>
      </c>
      <c r="E90" s="92">
        <f t="shared" si="6"/>
        <v>0.4</v>
      </c>
      <c r="F90" s="67"/>
      <c r="G90" s="84">
        <f t="shared" si="7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86" t="s">
        <v>196</v>
      </c>
      <c r="B91" s="65" t="s">
        <v>115</v>
      </c>
      <c r="C91" s="65">
        <v>1</v>
      </c>
      <c r="D91" s="73">
        <v>60</v>
      </c>
      <c r="E91" s="92">
        <f t="shared" si="6"/>
        <v>0.2</v>
      </c>
      <c r="F91" s="67"/>
      <c r="G91" s="84">
        <f t="shared" si="7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75" t="s">
        <v>197</v>
      </c>
      <c r="B92" s="65" t="s">
        <v>115</v>
      </c>
      <c r="C92" s="65">
        <v>10</v>
      </c>
      <c r="D92" s="73">
        <v>60</v>
      </c>
      <c r="E92" s="92">
        <f t="shared" si="6"/>
        <v>2</v>
      </c>
      <c r="F92" s="67"/>
      <c r="G92" s="84">
        <f t="shared" si="7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86" t="s">
        <v>198</v>
      </c>
      <c r="B93" s="65" t="s">
        <v>115</v>
      </c>
      <c r="C93" s="65">
        <v>1</v>
      </c>
      <c r="D93" s="73">
        <v>60</v>
      </c>
      <c r="E93" s="92">
        <f t="shared" si="6"/>
        <v>0.2</v>
      </c>
      <c r="F93" s="67"/>
      <c r="G93" s="84">
        <f t="shared" si="7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328" t="s">
        <v>199</v>
      </c>
      <c r="B94" s="318"/>
      <c r="C94" s="318"/>
      <c r="D94" s="318"/>
      <c r="E94" s="318"/>
      <c r="F94" s="316"/>
      <c r="G94" s="88">
        <f>SUM(G78:G93)</f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328" t="s">
        <v>200</v>
      </c>
      <c r="B95" s="318"/>
      <c r="C95" s="318"/>
      <c r="D95" s="318"/>
      <c r="E95" s="318"/>
      <c r="F95" s="316"/>
      <c r="G95" s="88">
        <f>G94/12</f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2"/>
      <c r="C96" s="2"/>
      <c r="D96" s="2"/>
      <c r="E96" s="89"/>
      <c r="F96" s="8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01" t="s">
        <v>201</v>
      </c>
      <c r="B97" s="62" t="s">
        <v>93</v>
      </c>
      <c r="C97" s="62" t="s">
        <v>95</v>
      </c>
      <c r="D97" s="63" t="s">
        <v>96</v>
      </c>
      <c r="E97" s="63" t="s">
        <v>97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95" t="s">
        <v>202</v>
      </c>
      <c r="B98" s="73" t="s">
        <v>203</v>
      </c>
      <c r="C98" s="77">
        <v>2</v>
      </c>
      <c r="D98" s="67"/>
      <c r="E98" s="93">
        <f t="shared" ref="E98:E112" si="8">C98*D98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95" t="s">
        <v>204</v>
      </c>
      <c r="B99" s="73" t="s">
        <v>203</v>
      </c>
      <c r="C99" s="77">
        <v>2</v>
      </c>
      <c r="D99" s="67"/>
      <c r="E99" s="93">
        <f t="shared" si="8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95" t="s">
        <v>205</v>
      </c>
      <c r="B100" s="73" t="s">
        <v>206</v>
      </c>
      <c r="C100" s="77">
        <v>2</v>
      </c>
      <c r="D100" s="67"/>
      <c r="E100" s="93">
        <f t="shared" si="8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95" t="s">
        <v>207</v>
      </c>
      <c r="B101" s="73" t="s">
        <v>203</v>
      </c>
      <c r="C101" s="77">
        <v>1</v>
      </c>
      <c r="D101" s="67"/>
      <c r="E101" s="93">
        <f t="shared" si="8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95" t="s">
        <v>208</v>
      </c>
      <c r="B102" s="73" t="s">
        <v>203</v>
      </c>
      <c r="C102" s="77">
        <v>2</v>
      </c>
      <c r="D102" s="67"/>
      <c r="E102" s="93">
        <f t="shared" si="8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95" t="s">
        <v>209</v>
      </c>
      <c r="B103" s="73" t="s">
        <v>206</v>
      </c>
      <c r="C103" s="77">
        <v>1</v>
      </c>
      <c r="D103" s="67"/>
      <c r="E103" s="93">
        <f t="shared" si="8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95" t="s">
        <v>210</v>
      </c>
      <c r="B104" s="73" t="s">
        <v>115</v>
      </c>
      <c r="C104" s="77">
        <v>1</v>
      </c>
      <c r="D104" s="67"/>
      <c r="E104" s="93">
        <f t="shared" si="8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95" t="s">
        <v>211</v>
      </c>
      <c r="B105" s="73" t="s">
        <v>115</v>
      </c>
      <c r="C105" s="77">
        <v>1</v>
      </c>
      <c r="D105" s="67"/>
      <c r="E105" s="93">
        <f t="shared" si="8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95" t="s">
        <v>212</v>
      </c>
      <c r="B106" s="73" t="s">
        <v>213</v>
      </c>
      <c r="C106" s="77">
        <v>24</v>
      </c>
      <c r="D106" s="67"/>
      <c r="E106" s="93">
        <f t="shared" si="8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95" t="s">
        <v>214</v>
      </c>
      <c r="B107" s="73" t="s">
        <v>213</v>
      </c>
      <c r="C107" s="77">
        <v>24</v>
      </c>
      <c r="D107" s="67"/>
      <c r="E107" s="93">
        <f t="shared" si="8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95" t="s">
        <v>215</v>
      </c>
      <c r="B108" s="73" t="s">
        <v>115</v>
      </c>
      <c r="C108" s="77">
        <v>12</v>
      </c>
      <c r="D108" s="67"/>
      <c r="E108" s="93">
        <f t="shared" si="8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95" t="s">
        <v>216</v>
      </c>
      <c r="B109" s="73" t="s">
        <v>115</v>
      </c>
      <c r="C109" s="77">
        <v>1</v>
      </c>
      <c r="D109" s="67"/>
      <c r="E109" s="93">
        <f t="shared" si="8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02" t="s">
        <v>217</v>
      </c>
      <c r="B110" s="72" t="s">
        <v>115</v>
      </c>
      <c r="C110" s="78">
        <v>1</v>
      </c>
      <c r="D110" s="67"/>
      <c r="E110" s="93">
        <f t="shared" si="8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02" t="s">
        <v>218</v>
      </c>
      <c r="B111" s="72" t="s">
        <v>115</v>
      </c>
      <c r="C111" s="78">
        <v>2</v>
      </c>
      <c r="D111" s="67"/>
      <c r="E111" s="93">
        <f t="shared" si="8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02" t="s">
        <v>219</v>
      </c>
      <c r="B112" s="72" t="s">
        <v>115</v>
      </c>
      <c r="C112" s="78">
        <v>2</v>
      </c>
      <c r="D112" s="67"/>
      <c r="E112" s="93">
        <f t="shared" si="8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328" t="s">
        <v>220</v>
      </c>
      <c r="B113" s="318"/>
      <c r="C113" s="318"/>
      <c r="D113" s="316"/>
      <c r="E113" s="97">
        <f>SUM(E98:E112)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328" t="s">
        <v>221</v>
      </c>
      <c r="B114" s="318"/>
      <c r="C114" s="318"/>
      <c r="D114" s="316"/>
      <c r="E114" s="97">
        <f>E113/12</f>
        <v>0</v>
      </c>
      <c r="F114" s="10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2"/>
      <c r="C115" s="2"/>
      <c r="D115" s="2"/>
      <c r="E115" s="89"/>
      <c r="F115" s="8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8.25" customHeight="1" x14ac:dyDescent="0.2">
      <c r="A116" s="104" t="s">
        <v>222</v>
      </c>
      <c r="B116" s="326" t="s">
        <v>223</v>
      </c>
      <c r="C116" s="316"/>
      <c r="D116" s="326" t="s">
        <v>224</v>
      </c>
      <c r="E116" s="316"/>
      <c r="F116" s="327" t="s">
        <v>225</v>
      </c>
      <c r="G116" s="318"/>
      <c r="H116" s="3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05" t="s">
        <v>226</v>
      </c>
      <c r="B117" s="329">
        <f>F39</f>
        <v>0</v>
      </c>
      <c r="C117" s="316"/>
      <c r="D117" s="329">
        <f t="shared" ref="D117:D120" si="9">B117/12</f>
        <v>0</v>
      </c>
      <c r="E117" s="316"/>
      <c r="F117" s="320" t="e">
        <f>D117/H128</f>
        <v>#DIV/0!</v>
      </c>
      <c r="G117" s="318"/>
      <c r="H117" s="31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05" t="s">
        <v>227</v>
      </c>
      <c r="B118" s="329">
        <f>F47</f>
        <v>0</v>
      </c>
      <c r="C118" s="316"/>
      <c r="D118" s="329">
        <f t="shared" si="9"/>
        <v>0</v>
      </c>
      <c r="E118" s="316"/>
      <c r="F118" s="320" t="e">
        <f>D118/H128</f>
        <v>#DIV/0!</v>
      </c>
      <c r="G118" s="318"/>
      <c r="H118" s="31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05" t="s">
        <v>228</v>
      </c>
      <c r="B119" s="329">
        <f>G74</f>
        <v>0</v>
      </c>
      <c r="C119" s="316"/>
      <c r="D119" s="329">
        <f t="shared" si="9"/>
        <v>0</v>
      </c>
      <c r="E119" s="316"/>
      <c r="F119" s="320" t="e">
        <f>D119/H128</f>
        <v>#DIV/0!</v>
      </c>
      <c r="G119" s="318"/>
      <c r="H119" s="31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88" t="s">
        <v>229</v>
      </c>
      <c r="B120" s="315">
        <f>SUM(B117:B119)</f>
        <v>0</v>
      </c>
      <c r="C120" s="316"/>
      <c r="D120" s="315">
        <f t="shared" si="9"/>
        <v>0</v>
      </c>
      <c r="E120" s="316"/>
      <c r="F120" s="317" t="e">
        <f>F117+F118+F119</f>
        <v>#DIV/0!</v>
      </c>
      <c r="G120" s="318"/>
      <c r="H120" s="316"/>
      <c r="I120" s="10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319"/>
      <c r="B121" s="318"/>
      <c r="C121" s="318"/>
      <c r="D121" s="318"/>
      <c r="E121" s="316"/>
      <c r="F121" s="320"/>
      <c r="G121" s="318"/>
      <c r="H121" s="316"/>
      <c r="I121" s="10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88" t="s">
        <v>181</v>
      </c>
      <c r="B122" s="315">
        <f>G94</f>
        <v>0</v>
      </c>
      <c r="C122" s="316"/>
      <c r="D122" s="315">
        <f>B122/12</f>
        <v>0</v>
      </c>
      <c r="E122" s="316"/>
      <c r="F122" s="317" t="e">
        <f>D122/H128</f>
        <v>#DIV/0!</v>
      </c>
      <c r="G122" s="318"/>
      <c r="H122" s="316"/>
      <c r="I122" s="10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321"/>
      <c r="B123" s="318"/>
      <c r="C123" s="318"/>
      <c r="D123" s="318"/>
      <c r="E123" s="316"/>
      <c r="F123" s="320"/>
      <c r="G123" s="318"/>
      <c r="H123" s="316"/>
      <c r="I123" s="10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88" t="s">
        <v>230</v>
      </c>
      <c r="B124" s="315">
        <f>E113</f>
        <v>0</v>
      </c>
      <c r="C124" s="316"/>
      <c r="D124" s="315">
        <f>B124/12</f>
        <v>0</v>
      </c>
      <c r="E124" s="316"/>
      <c r="F124" s="317">
        <f>D124</f>
        <v>0</v>
      </c>
      <c r="G124" s="318"/>
      <c r="H124" s="316"/>
      <c r="I124" s="10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321"/>
      <c r="B125" s="318"/>
      <c r="C125" s="318"/>
      <c r="D125" s="318"/>
      <c r="E125" s="316"/>
      <c r="F125" s="320"/>
      <c r="G125" s="318"/>
      <c r="H125" s="316"/>
      <c r="I125" s="10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88" t="s">
        <v>231</v>
      </c>
      <c r="B126" s="330">
        <f>B120+B122+B124</f>
        <v>0</v>
      </c>
      <c r="C126" s="316"/>
      <c r="D126" s="330">
        <f>B126/12</f>
        <v>0</v>
      </c>
      <c r="E126" s="316"/>
      <c r="F126" s="331" t="e">
        <f>F120+F122+F124</f>
        <v>#DIV/0!</v>
      </c>
      <c r="G126" s="318"/>
      <c r="H126" s="316"/>
      <c r="I126" s="10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07"/>
      <c r="B127" s="108"/>
      <c r="C127" s="108"/>
      <c r="D127" s="108"/>
      <c r="E127" s="108"/>
      <c r="F127" s="10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.75" customHeight="1" x14ac:dyDescent="0.2">
      <c r="A128" s="332" t="s">
        <v>232</v>
      </c>
      <c r="B128" s="318"/>
      <c r="C128" s="318"/>
      <c r="D128" s="318"/>
      <c r="E128" s="318"/>
      <c r="F128" s="318"/>
      <c r="G128" s="316"/>
      <c r="H128" s="109" t="e">
        <f>'Qtd postos 20%'!L23+'Qtd postos 40%'!L24</f>
        <v>#DIV/0!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2"/>
      <c r="C129" s="2"/>
      <c r="D129" s="2"/>
      <c r="E129" s="89"/>
      <c r="F129" s="8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9.25" customHeight="1" x14ac:dyDescent="0.2">
      <c r="A130" s="333" t="s">
        <v>233</v>
      </c>
      <c r="B130" s="311"/>
      <c r="C130" s="311"/>
      <c r="D130" s="311"/>
      <c r="E130" s="311"/>
      <c r="F130" s="311"/>
      <c r="G130" s="311"/>
      <c r="H130" s="31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9.25" customHeight="1" x14ac:dyDescent="0.2">
      <c r="A131" s="333" t="s">
        <v>234</v>
      </c>
      <c r="B131" s="311"/>
      <c r="C131" s="311"/>
      <c r="D131" s="311"/>
      <c r="E131" s="311"/>
      <c r="F131" s="311"/>
      <c r="G131" s="311"/>
      <c r="H131" s="31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9.25" customHeight="1" x14ac:dyDescent="0.2">
      <c r="A132" s="333" t="s">
        <v>235</v>
      </c>
      <c r="B132" s="311"/>
      <c r="C132" s="311"/>
      <c r="D132" s="311"/>
      <c r="E132" s="311"/>
      <c r="F132" s="311"/>
      <c r="G132" s="311"/>
      <c r="H132" s="31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2"/>
      <c r="C133" s="2"/>
      <c r="D133" s="2"/>
      <c r="E133" s="89"/>
      <c r="F133" s="8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2"/>
      <c r="C134" s="2"/>
      <c r="D134" s="2"/>
      <c r="E134" s="89"/>
      <c r="F134" s="8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2"/>
      <c r="C135" s="2"/>
      <c r="D135" s="2"/>
      <c r="E135" s="89"/>
      <c r="F135" s="8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2"/>
      <c r="C136" s="2"/>
      <c r="D136" s="2"/>
      <c r="E136" s="89"/>
      <c r="F136" s="8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2"/>
      <c r="C137" s="2"/>
      <c r="D137" s="2"/>
      <c r="E137" s="89"/>
      <c r="F137" s="8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2"/>
      <c r="C138" s="2"/>
      <c r="D138" s="2"/>
      <c r="E138" s="89"/>
      <c r="F138" s="8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2"/>
      <c r="C139" s="2"/>
      <c r="D139" s="2"/>
      <c r="E139" s="89"/>
      <c r="F139" s="8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2"/>
      <c r="C140" s="2"/>
      <c r="D140" s="2"/>
      <c r="E140" s="89"/>
      <c r="F140" s="8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2"/>
      <c r="C141" s="2"/>
      <c r="D141" s="2"/>
      <c r="E141" s="89"/>
      <c r="F141" s="8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2"/>
      <c r="C142" s="2"/>
      <c r="D142" s="2"/>
      <c r="E142" s="89"/>
      <c r="F142" s="8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2"/>
      <c r="C143" s="2"/>
      <c r="D143" s="2"/>
      <c r="E143" s="89"/>
      <c r="F143" s="8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2"/>
      <c r="C144" s="2"/>
      <c r="D144" s="2"/>
      <c r="E144" s="89"/>
      <c r="F144" s="8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2"/>
      <c r="C145" s="2"/>
      <c r="D145" s="2"/>
      <c r="E145" s="89"/>
      <c r="F145" s="8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2"/>
      <c r="C146" s="2"/>
      <c r="D146" s="2"/>
      <c r="E146" s="89"/>
      <c r="F146" s="8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2"/>
      <c r="C147" s="2"/>
      <c r="D147" s="2"/>
      <c r="E147" s="89"/>
      <c r="F147" s="8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2"/>
      <c r="C148" s="2"/>
      <c r="D148" s="2"/>
      <c r="E148" s="89"/>
      <c r="F148" s="8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2"/>
      <c r="C149" s="2"/>
      <c r="D149" s="2"/>
      <c r="E149" s="89"/>
      <c r="F149" s="8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2"/>
      <c r="C150" s="2"/>
      <c r="D150" s="2"/>
      <c r="E150" s="89"/>
      <c r="F150" s="8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2"/>
      <c r="C151" s="2"/>
      <c r="D151" s="2"/>
      <c r="E151" s="89"/>
      <c r="F151" s="8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2"/>
      <c r="C152" s="2"/>
      <c r="D152" s="2"/>
      <c r="E152" s="89"/>
      <c r="F152" s="8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2"/>
      <c r="C153" s="2"/>
      <c r="D153" s="2"/>
      <c r="E153" s="89"/>
      <c r="F153" s="8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2"/>
      <c r="C154" s="2"/>
      <c r="D154" s="2"/>
      <c r="E154" s="89"/>
      <c r="F154" s="8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2"/>
      <c r="C155" s="2"/>
      <c r="D155" s="2"/>
      <c r="E155" s="89"/>
      <c r="F155" s="8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2"/>
      <c r="C156" s="2"/>
      <c r="D156" s="2"/>
      <c r="E156" s="89"/>
      <c r="F156" s="8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2"/>
      <c r="C157" s="2"/>
      <c r="D157" s="2"/>
      <c r="E157" s="89"/>
      <c r="F157" s="8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2"/>
      <c r="C158" s="2"/>
      <c r="D158" s="2"/>
      <c r="E158" s="89"/>
      <c r="F158" s="8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2"/>
      <c r="C159" s="2"/>
      <c r="D159" s="2"/>
      <c r="E159" s="89"/>
      <c r="F159" s="8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2"/>
      <c r="C160" s="2"/>
      <c r="D160" s="2"/>
      <c r="E160" s="89"/>
      <c r="F160" s="8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2"/>
      <c r="C161" s="2"/>
      <c r="D161" s="2"/>
      <c r="E161" s="89"/>
      <c r="F161" s="8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2"/>
      <c r="C162" s="2"/>
      <c r="D162" s="2"/>
      <c r="E162" s="89"/>
      <c r="F162" s="8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2"/>
      <c r="C163" s="2"/>
      <c r="D163" s="2"/>
      <c r="E163" s="89"/>
      <c r="F163" s="8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2"/>
      <c r="C164" s="2"/>
      <c r="D164" s="2"/>
      <c r="E164" s="89"/>
      <c r="F164" s="8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2"/>
      <c r="C165" s="2"/>
      <c r="D165" s="2"/>
      <c r="E165" s="89"/>
      <c r="F165" s="8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2"/>
      <c r="C166" s="2"/>
      <c r="D166" s="2"/>
      <c r="E166" s="89"/>
      <c r="F166" s="8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2"/>
      <c r="C167" s="2"/>
      <c r="D167" s="2"/>
      <c r="E167" s="89"/>
      <c r="F167" s="8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2"/>
      <c r="C168" s="2"/>
      <c r="D168" s="2"/>
      <c r="E168" s="89"/>
      <c r="F168" s="8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2"/>
      <c r="C169" s="2"/>
      <c r="D169" s="2"/>
      <c r="E169" s="89"/>
      <c r="F169" s="8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2"/>
      <c r="C170" s="2"/>
      <c r="D170" s="2"/>
      <c r="E170" s="89"/>
      <c r="F170" s="8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2"/>
      <c r="C171" s="2"/>
      <c r="D171" s="2"/>
      <c r="E171" s="89"/>
      <c r="F171" s="8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2"/>
      <c r="C172" s="2"/>
      <c r="D172" s="2"/>
      <c r="E172" s="89"/>
      <c r="F172" s="8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2"/>
      <c r="C173" s="2"/>
      <c r="D173" s="2"/>
      <c r="E173" s="89"/>
      <c r="F173" s="8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2"/>
      <c r="C174" s="2"/>
      <c r="D174" s="2"/>
      <c r="E174" s="89"/>
      <c r="F174" s="8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2"/>
      <c r="C175" s="2"/>
      <c r="D175" s="2"/>
      <c r="E175" s="89"/>
      <c r="F175" s="8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2"/>
      <c r="C176" s="2"/>
      <c r="D176" s="2"/>
      <c r="E176" s="89"/>
      <c r="F176" s="8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2"/>
      <c r="C177" s="2"/>
      <c r="D177" s="2"/>
      <c r="E177" s="89"/>
      <c r="F177" s="8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2"/>
      <c r="C178" s="2"/>
      <c r="D178" s="2"/>
      <c r="E178" s="89"/>
      <c r="F178" s="8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2"/>
      <c r="C179" s="2"/>
      <c r="D179" s="2"/>
      <c r="E179" s="89"/>
      <c r="F179" s="8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2"/>
      <c r="C180" s="2"/>
      <c r="D180" s="2"/>
      <c r="E180" s="89"/>
      <c r="F180" s="8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2"/>
      <c r="C181" s="2"/>
      <c r="D181" s="2"/>
      <c r="E181" s="89"/>
      <c r="F181" s="8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2"/>
      <c r="C182" s="2"/>
      <c r="D182" s="2"/>
      <c r="E182" s="89"/>
      <c r="F182" s="8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2"/>
      <c r="C183" s="2"/>
      <c r="D183" s="2"/>
      <c r="E183" s="89"/>
      <c r="F183" s="8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2"/>
      <c r="C184" s="2"/>
      <c r="D184" s="2"/>
      <c r="E184" s="89"/>
      <c r="F184" s="8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2"/>
      <c r="C185" s="2"/>
      <c r="D185" s="2"/>
      <c r="E185" s="89"/>
      <c r="F185" s="8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2"/>
      <c r="C186" s="2"/>
      <c r="D186" s="2"/>
      <c r="E186" s="89"/>
      <c r="F186" s="8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2"/>
      <c r="C187" s="2"/>
      <c r="D187" s="2"/>
      <c r="E187" s="89"/>
      <c r="F187" s="8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2"/>
      <c r="C188" s="2"/>
      <c r="D188" s="2"/>
      <c r="E188" s="89"/>
      <c r="F188" s="8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2"/>
      <c r="C189" s="2"/>
      <c r="D189" s="2"/>
      <c r="E189" s="89"/>
      <c r="F189" s="8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2"/>
      <c r="C190" s="2"/>
      <c r="D190" s="2"/>
      <c r="E190" s="89"/>
      <c r="F190" s="8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2"/>
      <c r="C191" s="2"/>
      <c r="D191" s="2"/>
      <c r="E191" s="89"/>
      <c r="F191" s="8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2"/>
      <c r="C192" s="2"/>
      <c r="D192" s="2"/>
      <c r="E192" s="89"/>
      <c r="F192" s="8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2"/>
      <c r="C193" s="2"/>
      <c r="D193" s="2"/>
      <c r="E193" s="89"/>
      <c r="F193" s="8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2"/>
      <c r="C194" s="2"/>
      <c r="D194" s="2"/>
      <c r="E194" s="89"/>
      <c r="F194" s="8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2"/>
      <c r="C195" s="2"/>
      <c r="D195" s="2"/>
      <c r="E195" s="89"/>
      <c r="F195" s="8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2"/>
      <c r="C196" s="2"/>
      <c r="D196" s="2"/>
      <c r="E196" s="89"/>
      <c r="F196" s="8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2"/>
      <c r="C197" s="2"/>
      <c r="D197" s="2"/>
      <c r="E197" s="89"/>
      <c r="F197" s="8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2"/>
      <c r="C198" s="2"/>
      <c r="D198" s="2"/>
      <c r="E198" s="89"/>
      <c r="F198" s="8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2"/>
      <c r="C199" s="2"/>
      <c r="D199" s="2"/>
      <c r="E199" s="89"/>
      <c r="F199" s="8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2"/>
      <c r="C200" s="2"/>
      <c r="D200" s="2"/>
      <c r="E200" s="89"/>
      <c r="F200" s="8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2"/>
      <c r="C201" s="2"/>
      <c r="D201" s="2"/>
      <c r="E201" s="89"/>
      <c r="F201" s="8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2"/>
      <c r="C202" s="2"/>
      <c r="D202" s="2"/>
      <c r="E202" s="89"/>
      <c r="F202" s="8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2"/>
      <c r="C203" s="2"/>
      <c r="D203" s="2"/>
      <c r="E203" s="89"/>
      <c r="F203" s="8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2"/>
      <c r="C204" s="2"/>
      <c r="D204" s="2"/>
      <c r="E204" s="89"/>
      <c r="F204" s="8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2"/>
      <c r="C205" s="2"/>
      <c r="D205" s="2"/>
      <c r="E205" s="89"/>
      <c r="F205" s="8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2"/>
      <c r="C206" s="2"/>
      <c r="D206" s="2"/>
      <c r="E206" s="89"/>
      <c r="F206" s="8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2"/>
      <c r="C207" s="2"/>
      <c r="D207" s="2"/>
      <c r="E207" s="89"/>
      <c r="F207" s="8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2"/>
      <c r="C208" s="2"/>
      <c r="D208" s="2"/>
      <c r="E208" s="89"/>
      <c r="F208" s="8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2"/>
      <c r="C209" s="2"/>
      <c r="D209" s="2"/>
      <c r="E209" s="89"/>
      <c r="F209" s="8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2"/>
      <c r="C210" s="2"/>
      <c r="D210" s="2"/>
      <c r="E210" s="89"/>
      <c r="F210" s="8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2"/>
      <c r="C211" s="2"/>
      <c r="D211" s="2"/>
      <c r="E211" s="89"/>
      <c r="F211" s="8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2"/>
      <c r="C212" s="2"/>
      <c r="D212" s="2"/>
      <c r="E212" s="89"/>
      <c r="F212" s="8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2"/>
      <c r="C213" s="2"/>
      <c r="D213" s="2"/>
      <c r="E213" s="89"/>
      <c r="F213" s="8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2"/>
      <c r="C214" s="2"/>
      <c r="D214" s="2"/>
      <c r="E214" s="89"/>
      <c r="F214" s="8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2"/>
      <c r="C215" s="2"/>
      <c r="D215" s="2"/>
      <c r="E215" s="89"/>
      <c r="F215" s="8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2"/>
      <c r="C216" s="2"/>
      <c r="D216" s="2"/>
      <c r="E216" s="89"/>
      <c r="F216" s="8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2"/>
      <c r="C217" s="2"/>
      <c r="D217" s="2"/>
      <c r="E217" s="89"/>
      <c r="F217" s="8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2"/>
      <c r="C218" s="2"/>
      <c r="D218" s="2"/>
      <c r="E218" s="89"/>
      <c r="F218" s="8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2"/>
      <c r="C219" s="2"/>
      <c r="D219" s="2"/>
      <c r="E219" s="89"/>
      <c r="F219" s="8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2"/>
      <c r="C220" s="2"/>
      <c r="D220" s="2"/>
      <c r="E220" s="89"/>
      <c r="F220" s="8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2"/>
      <c r="C221" s="2"/>
      <c r="D221" s="2"/>
      <c r="E221" s="89"/>
      <c r="F221" s="8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2"/>
      <c r="C222" s="2"/>
      <c r="D222" s="2"/>
      <c r="E222" s="89"/>
      <c r="F222" s="8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2"/>
      <c r="C223" s="2"/>
      <c r="D223" s="2"/>
      <c r="E223" s="89"/>
      <c r="F223" s="8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2"/>
      <c r="C224" s="2"/>
      <c r="D224" s="2"/>
      <c r="E224" s="89"/>
      <c r="F224" s="8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2"/>
      <c r="C225" s="2"/>
      <c r="D225" s="2"/>
      <c r="E225" s="89"/>
      <c r="F225" s="8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2"/>
      <c r="C226" s="2"/>
      <c r="D226" s="2"/>
      <c r="E226" s="89"/>
      <c r="F226" s="8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2"/>
      <c r="C227" s="2"/>
      <c r="D227" s="2"/>
      <c r="E227" s="89"/>
      <c r="F227" s="8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2"/>
      <c r="C228" s="2"/>
      <c r="D228" s="2"/>
      <c r="E228" s="89"/>
      <c r="F228" s="8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2"/>
      <c r="C229" s="2"/>
      <c r="D229" s="2"/>
      <c r="E229" s="89"/>
      <c r="F229" s="8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2"/>
      <c r="C230" s="2"/>
      <c r="D230" s="2"/>
      <c r="E230" s="89"/>
      <c r="F230" s="8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2"/>
      <c r="C231" s="2"/>
      <c r="D231" s="2"/>
      <c r="E231" s="89"/>
      <c r="F231" s="8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2"/>
      <c r="C232" s="2"/>
      <c r="D232" s="2"/>
      <c r="E232" s="89"/>
      <c r="F232" s="8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2"/>
      <c r="C233" s="2"/>
      <c r="D233" s="2"/>
      <c r="E233" s="89"/>
      <c r="F233" s="8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2"/>
      <c r="C234" s="2"/>
      <c r="D234" s="2"/>
      <c r="E234" s="89"/>
      <c r="F234" s="8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2"/>
      <c r="C235" s="2"/>
      <c r="D235" s="2"/>
      <c r="E235" s="89"/>
      <c r="F235" s="8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2"/>
      <c r="C236" s="2"/>
      <c r="D236" s="2"/>
      <c r="E236" s="89"/>
      <c r="F236" s="8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2"/>
      <c r="C237" s="2"/>
      <c r="D237" s="2"/>
      <c r="E237" s="89"/>
      <c r="F237" s="8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2"/>
      <c r="C238" s="2"/>
      <c r="D238" s="2"/>
      <c r="E238" s="89"/>
      <c r="F238" s="8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2"/>
      <c r="C239" s="2"/>
      <c r="D239" s="2"/>
      <c r="E239" s="89"/>
      <c r="F239" s="8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2"/>
      <c r="C240" s="2"/>
      <c r="D240" s="2"/>
      <c r="E240" s="89"/>
      <c r="F240" s="8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2"/>
      <c r="C241" s="2"/>
      <c r="D241" s="2"/>
      <c r="E241" s="89"/>
      <c r="F241" s="8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2"/>
      <c r="C242" s="2"/>
      <c r="D242" s="2"/>
      <c r="E242" s="89"/>
      <c r="F242" s="8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2"/>
      <c r="C243" s="2"/>
      <c r="D243" s="2"/>
      <c r="E243" s="89"/>
      <c r="F243" s="8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2"/>
      <c r="C244" s="2"/>
      <c r="D244" s="2"/>
      <c r="E244" s="89"/>
      <c r="F244" s="8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2"/>
      <c r="C245" s="2"/>
      <c r="D245" s="2"/>
      <c r="E245" s="89"/>
      <c r="F245" s="8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2"/>
      <c r="C246" s="2"/>
      <c r="D246" s="2"/>
      <c r="E246" s="89"/>
      <c r="F246" s="8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2"/>
      <c r="C247" s="2"/>
      <c r="D247" s="2"/>
      <c r="E247" s="89"/>
      <c r="F247" s="8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2"/>
      <c r="C248" s="2"/>
      <c r="D248" s="2"/>
      <c r="E248" s="89"/>
      <c r="F248" s="8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2"/>
      <c r="C249" s="2"/>
      <c r="D249" s="2"/>
      <c r="E249" s="89"/>
      <c r="F249" s="8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2"/>
      <c r="C250" s="2"/>
      <c r="D250" s="2"/>
      <c r="E250" s="89"/>
      <c r="F250" s="8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2"/>
      <c r="C251" s="2"/>
      <c r="D251" s="2"/>
      <c r="E251" s="89"/>
      <c r="F251" s="8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2"/>
      <c r="C252" s="2"/>
      <c r="D252" s="2"/>
      <c r="E252" s="89"/>
      <c r="F252" s="8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2"/>
      <c r="C253" s="2"/>
      <c r="D253" s="2"/>
      <c r="E253" s="89"/>
      <c r="F253" s="8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2"/>
      <c r="C254" s="2"/>
      <c r="D254" s="2"/>
      <c r="E254" s="89"/>
      <c r="F254" s="8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2"/>
      <c r="C255" s="2"/>
      <c r="D255" s="2"/>
      <c r="E255" s="89"/>
      <c r="F255" s="8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2"/>
      <c r="C256" s="2"/>
      <c r="D256" s="2"/>
      <c r="E256" s="89"/>
      <c r="F256" s="8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2"/>
      <c r="C257" s="2"/>
      <c r="D257" s="2"/>
      <c r="E257" s="89"/>
      <c r="F257" s="8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2"/>
      <c r="C258" s="2"/>
      <c r="D258" s="2"/>
      <c r="E258" s="89"/>
      <c r="F258" s="8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2"/>
      <c r="C259" s="2"/>
      <c r="D259" s="2"/>
      <c r="E259" s="89"/>
      <c r="F259" s="8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2"/>
      <c r="C260" s="2"/>
      <c r="D260" s="2"/>
      <c r="E260" s="89"/>
      <c r="F260" s="8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2"/>
      <c r="C261" s="2"/>
      <c r="D261" s="2"/>
      <c r="E261" s="89"/>
      <c r="F261" s="8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2"/>
      <c r="C262" s="2"/>
      <c r="D262" s="2"/>
      <c r="E262" s="89"/>
      <c r="F262" s="8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2"/>
      <c r="C263" s="2"/>
      <c r="D263" s="2"/>
      <c r="E263" s="89"/>
      <c r="F263" s="8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2"/>
      <c r="C264" s="2"/>
      <c r="D264" s="2"/>
      <c r="E264" s="89"/>
      <c r="F264" s="8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2"/>
      <c r="C265" s="2"/>
      <c r="D265" s="2"/>
      <c r="E265" s="89"/>
      <c r="F265" s="8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2"/>
      <c r="C266" s="2"/>
      <c r="D266" s="2"/>
      <c r="E266" s="89"/>
      <c r="F266" s="8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2"/>
      <c r="C267" s="2"/>
      <c r="D267" s="2"/>
      <c r="E267" s="89"/>
      <c r="F267" s="8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2"/>
      <c r="C268" s="2"/>
      <c r="D268" s="2"/>
      <c r="E268" s="89"/>
      <c r="F268" s="8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2"/>
      <c r="C269" s="2"/>
      <c r="D269" s="2"/>
      <c r="E269" s="89"/>
      <c r="F269" s="8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2"/>
      <c r="C270" s="2"/>
      <c r="D270" s="2"/>
      <c r="E270" s="89"/>
      <c r="F270" s="8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2"/>
      <c r="C271" s="2"/>
      <c r="D271" s="2"/>
      <c r="E271" s="89"/>
      <c r="F271" s="8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2"/>
      <c r="C272" s="2"/>
      <c r="D272" s="2"/>
      <c r="E272" s="89"/>
      <c r="F272" s="8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2"/>
      <c r="C273" s="2"/>
      <c r="D273" s="2"/>
      <c r="E273" s="89"/>
      <c r="F273" s="8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2"/>
      <c r="C274" s="2"/>
      <c r="D274" s="2"/>
      <c r="E274" s="89"/>
      <c r="F274" s="8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2"/>
      <c r="C275" s="2"/>
      <c r="D275" s="2"/>
      <c r="E275" s="89"/>
      <c r="F275" s="8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2"/>
      <c r="C276" s="2"/>
      <c r="D276" s="2"/>
      <c r="E276" s="89"/>
      <c r="F276" s="8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2"/>
      <c r="C277" s="2"/>
      <c r="D277" s="2"/>
      <c r="E277" s="89"/>
      <c r="F277" s="8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2"/>
      <c r="C278" s="2"/>
      <c r="D278" s="2"/>
      <c r="E278" s="89"/>
      <c r="F278" s="8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2"/>
      <c r="C279" s="2"/>
      <c r="D279" s="2"/>
      <c r="E279" s="89"/>
      <c r="F279" s="8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2"/>
      <c r="C280" s="2"/>
      <c r="D280" s="2"/>
      <c r="E280" s="89"/>
      <c r="F280" s="8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2"/>
      <c r="C281" s="2"/>
      <c r="D281" s="2"/>
      <c r="E281" s="89"/>
      <c r="F281" s="8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2"/>
      <c r="C282" s="2"/>
      <c r="D282" s="2"/>
      <c r="E282" s="89"/>
      <c r="F282" s="8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2"/>
      <c r="C283" s="2"/>
      <c r="D283" s="2"/>
      <c r="E283" s="89"/>
      <c r="F283" s="8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2"/>
      <c r="C284" s="2"/>
      <c r="D284" s="2"/>
      <c r="E284" s="89"/>
      <c r="F284" s="8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2"/>
      <c r="C285" s="2"/>
      <c r="D285" s="2"/>
      <c r="E285" s="89"/>
      <c r="F285" s="8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2"/>
      <c r="C286" s="2"/>
      <c r="D286" s="2"/>
      <c r="E286" s="89"/>
      <c r="F286" s="8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2"/>
      <c r="C287" s="2"/>
      <c r="D287" s="2"/>
      <c r="E287" s="89"/>
      <c r="F287" s="8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2"/>
      <c r="C288" s="2"/>
      <c r="D288" s="2"/>
      <c r="E288" s="89"/>
      <c r="F288" s="8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2"/>
      <c r="C289" s="2"/>
      <c r="D289" s="2"/>
      <c r="E289" s="89"/>
      <c r="F289" s="8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2"/>
      <c r="C290" s="2"/>
      <c r="D290" s="2"/>
      <c r="E290" s="89"/>
      <c r="F290" s="8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2"/>
      <c r="C291" s="2"/>
      <c r="D291" s="2"/>
      <c r="E291" s="89"/>
      <c r="F291" s="8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2"/>
      <c r="C292" s="2"/>
      <c r="D292" s="2"/>
      <c r="E292" s="89"/>
      <c r="F292" s="8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2"/>
      <c r="C293" s="2"/>
      <c r="D293" s="2"/>
      <c r="E293" s="89"/>
      <c r="F293" s="8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2"/>
      <c r="C294" s="2"/>
      <c r="D294" s="2"/>
      <c r="E294" s="89"/>
      <c r="F294" s="8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2"/>
      <c r="C295" s="2"/>
      <c r="D295" s="2"/>
      <c r="E295" s="89"/>
      <c r="F295" s="8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2"/>
      <c r="C296" s="2"/>
      <c r="D296" s="2"/>
      <c r="E296" s="89"/>
      <c r="F296" s="8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2"/>
      <c r="C297" s="2"/>
      <c r="D297" s="2"/>
      <c r="E297" s="89"/>
      <c r="F297" s="8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2"/>
      <c r="C298" s="2"/>
      <c r="D298" s="2"/>
      <c r="E298" s="89"/>
      <c r="F298" s="8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2"/>
      <c r="C299" s="2"/>
      <c r="D299" s="2"/>
      <c r="E299" s="89"/>
      <c r="F299" s="8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2"/>
      <c r="C300" s="2"/>
      <c r="D300" s="2"/>
      <c r="E300" s="89"/>
      <c r="F300" s="8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2"/>
      <c r="C301" s="2"/>
      <c r="D301" s="2"/>
      <c r="E301" s="89"/>
      <c r="F301" s="8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2"/>
      <c r="C302" s="2"/>
      <c r="D302" s="2"/>
      <c r="E302" s="89"/>
      <c r="F302" s="8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2"/>
      <c r="C303" s="2"/>
      <c r="D303" s="2"/>
      <c r="E303" s="89"/>
      <c r="F303" s="8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2"/>
      <c r="C304" s="2"/>
      <c r="D304" s="2"/>
      <c r="E304" s="89"/>
      <c r="F304" s="8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2"/>
      <c r="C305" s="2"/>
      <c r="D305" s="2"/>
      <c r="E305" s="89"/>
      <c r="F305" s="8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2"/>
      <c r="C306" s="2"/>
      <c r="D306" s="2"/>
      <c r="E306" s="89"/>
      <c r="F306" s="8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2"/>
      <c r="C307" s="2"/>
      <c r="D307" s="2"/>
      <c r="E307" s="89"/>
      <c r="F307" s="8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2"/>
      <c r="C308" s="2"/>
      <c r="D308" s="2"/>
      <c r="E308" s="89"/>
      <c r="F308" s="8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2"/>
      <c r="C309" s="2"/>
      <c r="D309" s="2"/>
      <c r="E309" s="89"/>
      <c r="F309" s="8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2"/>
      <c r="C310" s="2"/>
      <c r="D310" s="2"/>
      <c r="E310" s="89"/>
      <c r="F310" s="8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2"/>
      <c r="C311" s="2"/>
      <c r="D311" s="2"/>
      <c r="E311" s="89"/>
      <c r="F311" s="8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2"/>
      <c r="C312" s="2"/>
      <c r="D312" s="2"/>
      <c r="E312" s="89"/>
      <c r="F312" s="8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2"/>
      <c r="C313" s="2"/>
      <c r="D313" s="2"/>
      <c r="E313" s="89"/>
      <c r="F313" s="8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2"/>
      <c r="C314" s="2"/>
      <c r="D314" s="2"/>
      <c r="E314" s="89"/>
      <c r="F314" s="8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2"/>
      <c r="C315" s="2"/>
      <c r="D315" s="2"/>
      <c r="E315" s="89"/>
      <c r="F315" s="8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2"/>
      <c r="C316" s="2"/>
      <c r="D316" s="2"/>
      <c r="E316" s="89"/>
      <c r="F316" s="8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2"/>
      <c r="C317" s="2"/>
      <c r="D317" s="2"/>
      <c r="E317" s="89"/>
      <c r="F317" s="8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2"/>
      <c r="C318" s="2"/>
      <c r="D318" s="2"/>
      <c r="E318" s="89"/>
      <c r="F318" s="8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2"/>
      <c r="C319" s="2"/>
      <c r="D319" s="2"/>
      <c r="E319" s="89"/>
      <c r="F319" s="8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2"/>
      <c r="C320" s="2"/>
      <c r="D320" s="2"/>
      <c r="E320" s="89"/>
      <c r="F320" s="8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2"/>
      <c r="C321" s="2"/>
      <c r="D321" s="2"/>
      <c r="E321" s="89"/>
      <c r="F321" s="8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2"/>
      <c r="C322" s="2"/>
      <c r="D322" s="2"/>
      <c r="E322" s="89"/>
      <c r="F322" s="8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2"/>
      <c r="C323" s="2"/>
      <c r="D323" s="2"/>
      <c r="E323" s="89"/>
      <c r="F323" s="8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2"/>
      <c r="C324" s="2"/>
      <c r="D324" s="2"/>
      <c r="E324" s="89"/>
      <c r="F324" s="8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2"/>
      <c r="C325" s="2"/>
      <c r="D325" s="2"/>
      <c r="E325" s="89"/>
      <c r="F325" s="8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2"/>
      <c r="C326" s="2"/>
      <c r="D326" s="2"/>
      <c r="E326" s="89"/>
      <c r="F326" s="8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2"/>
      <c r="C327" s="2"/>
      <c r="D327" s="2"/>
      <c r="E327" s="89"/>
      <c r="F327" s="8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2"/>
      <c r="C328" s="2"/>
      <c r="D328" s="2"/>
      <c r="E328" s="89"/>
      <c r="F328" s="8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2"/>
      <c r="C329" s="2"/>
      <c r="D329" s="2"/>
      <c r="E329" s="89"/>
      <c r="F329" s="8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2"/>
      <c r="C330" s="2"/>
      <c r="D330" s="2"/>
      <c r="E330" s="89"/>
      <c r="F330" s="8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2"/>
      <c r="C331" s="2"/>
      <c r="D331" s="2"/>
      <c r="E331" s="89"/>
      <c r="F331" s="8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2"/>
      <c r="C332" s="2"/>
      <c r="D332" s="2"/>
      <c r="E332" s="89"/>
      <c r="F332" s="8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2"/>
      <c r="C333" s="2"/>
      <c r="D333" s="2"/>
      <c r="E333" s="89"/>
      <c r="F333" s="8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2"/>
      <c r="C334" s="2"/>
      <c r="D334" s="2"/>
      <c r="E334" s="89"/>
      <c r="F334" s="8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2"/>
      <c r="C335" s="2"/>
      <c r="D335" s="2"/>
      <c r="E335" s="89"/>
      <c r="F335" s="8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2"/>
      <c r="C336" s="2"/>
      <c r="D336" s="2"/>
      <c r="E336" s="89"/>
      <c r="F336" s="8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2"/>
      <c r="C337" s="2"/>
      <c r="D337" s="2"/>
      <c r="E337" s="89"/>
      <c r="F337" s="8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2"/>
      <c r="C338" s="2"/>
      <c r="D338" s="2"/>
      <c r="E338" s="89"/>
      <c r="F338" s="8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2"/>
      <c r="C339" s="2"/>
      <c r="D339" s="2"/>
      <c r="E339" s="89"/>
      <c r="F339" s="8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2"/>
      <c r="C340" s="2"/>
      <c r="D340" s="2"/>
      <c r="E340" s="89"/>
      <c r="F340" s="8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2"/>
      <c r="C341" s="2"/>
      <c r="D341" s="2"/>
      <c r="E341" s="89"/>
      <c r="F341" s="8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2"/>
      <c r="C342" s="2"/>
      <c r="D342" s="2"/>
      <c r="E342" s="89"/>
      <c r="F342" s="8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2"/>
      <c r="C343" s="2"/>
      <c r="D343" s="2"/>
      <c r="E343" s="89"/>
      <c r="F343" s="8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2"/>
      <c r="C344" s="2"/>
      <c r="D344" s="2"/>
      <c r="E344" s="89"/>
      <c r="F344" s="8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2"/>
      <c r="C345" s="2"/>
      <c r="D345" s="2"/>
      <c r="E345" s="89"/>
      <c r="F345" s="8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2"/>
      <c r="C346" s="2"/>
      <c r="D346" s="2"/>
      <c r="E346" s="89"/>
      <c r="F346" s="8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2"/>
      <c r="C347" s="2"/>
      <c r="D347" s="2"/>
      <c r="E347" s="89"/>
      <c r="F347" s="8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2"/>
      <c r="C348" s="2"/>
      <c r="D348" s="2"/>
      <c r="E348" s="89"/>
      <c r="F348" s="8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2"/>
      <c r="C349" s="2"/>
      <c r="D349" s="2"/>
      <c r="E349" s="89"/>
      <c r="F349" s="8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2"/>
      <c r="C350" s="2"/>
      <c r="D350" s="2"/>
      <c r="E350" s="89"/>
      <c r="F350" s="8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2"/>
      <c r="C351" s="2"/>
      <c r="D351" s="2"/>
      <c r="E351" s="89"/>
      <c r="F351" s="8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2"/>
      <c r="C352" s="2"/>
      <c r="D352" s="2"/>
      <c r="E352" s="89"/>
      <c r="F352" s="8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2"/>
      <c r="C353" s="2"/>
      <c r="D353" s="2"/>
      <c r="E353" s="89"/>
      <c r="F353" s="8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2"/>
      <c r="C354" s="2"/>
      <c r="D354" s="2"/>
      <c r="E354" s="89"/>
      <c r="F354" s="8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2"/>
      <c r="C355" s="2"/>
      <c r="D355" s="2"/>
      <c r="E355" s="89"/>
      <c r="F355" s="8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2"/>
      <c r="C356" s="2"/>
      <c r="D356" s="2"/>
      <c r="E356" s="89"/>
      <c r="F356" s="8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2"/>
      <c r="C357" s="2"/>
      <c r="D357" s="2"/>
      <c r="E357" s="89"/>
      <c r="F357" s="8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2"/>
      <c r="C358" s="2"/>
      <c r="D358" s="2"/>
      <c r="E358" s="89"/>
      <c r="F358" s="8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2"/>
      <c r="C359" s="2"/>
      <c r="D359" s="2"/>
      <c r="E359" s="89"/>
      <c r="F359" s="8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2"/>
      <c r="C360" s="2"/>
      <c r="D360" s="2"/>
      <c r="E360" s="89"/>
      <c r="F360" s="8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2"/>
      <c r="C361" s="2"/>
      <c r="D361" s="2"/>
      <c r="E361" s="89"/>
      <c r="F361" s="8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2"/>
      <c r="C362" s="2"/>
      <c r="D362" s="2"/>
      <c r="E362" s="89"/>
      <c r="F362" s="8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2"/>
      <c r="C363" s="2"/>
      <c r="D363" s="2"/>
      <c r="E363" s="89"/>
      <c r="F363" s="8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2"/>
      <c r="C364" s="2"/>
      <c r="D364" s="2"/>
      <c r="E364" s="89"/>
      <c r="F364" s="8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2"/>
      <c r="C365" s="2"/>
      <c r="D365" s="2"/>
      <c r="E365" s="89"/>
      <c r="F365" s="8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2"/>
      <c r="C366" s="2"/>
      <c r="D366" s="2"/>
      <c r="E366" s="89"/>
      <c r="F366" s="8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2"/>
      <c r="C367" s="2"/>
      <c r="D367" s="2"/>
      <c r="E367" s="89"/>
      <c r="F367" s="8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2"/>
      <c r="C368" s="2"/>
      <c r="D368" s="2"/>
      <c r="E368" s="89"/>
      <c r="F368" s="8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2"/>
      <c r="C369" s="2"/>
      <c r="D369" s="2"/>
      <c r="E369" s="89"/>
      <c r="F369" s="8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2"/>
      <c r="C370" s="2"/>
      <c r="D370" s="2"/>
      <c r="E370" s="89"/>
      <c r="F370" s="8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2"/>
      <c r="C371" s="2"/>
      <c r="D371" s="2"/>
      <c r="E371" s="89"/>
      <c r="F371" s="8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2"/>
      <c r="C372" s="2"/>
      <c r="D372" s="2"/>
      <c r="E372" s="89"/>
      <c r="F372" s="8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2"/>
      <c r="C373" s="2"/>
      <c r="D373" s="2"/>
      <c r="E373" s="89"/>
      <c r="F373" s="8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2"/>
      <c r="C374" s="2"/>
      <c r="D374" s="2"/>
      <c r="E374" s="89"/>
      <c r="F374" s="8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2"/>
      <c r="C375" s="2"/>
      <c r="D375" s="2"/>
      <c r="E375" s="89"/>
      <c r="F375" s="8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2"/>
      <c r="C376" s="2"/>
      <c r="D376" s="2"/>
      <c r="E376" s="89"/>
      <c r="F376" s="8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2"/>
      <c r="C377" s="2"/>
      <c r="D377" s="2"/>
      <c r="E377" s="89"/>
      <c r="F377" s="8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2"/>
      <c r="C378" s="2"/>
      <c r="D378" s="2"/>
      <c r="E378" s="89"/>
      <c r="F378" s="8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2"/>
      <c r="C379" s="2"/>
      <c r="D379" s="2"/>
      <c r="E379" s="89"/>
      <c r="F379" s="8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2"/>
      <c r="C380" s="2"/>
      <c r="D380" s="2"/>
      <c r="E380" s="89"/>
      <c r="F380" s="8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2"/>
      <c r="C381" s="2"/>
      <c r="D381" s="2"/>
      <c r="E381" s="89"/>
      <c r="F381" s="8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2"/>
      <c r="C382" s="2"/>
      <c r="D382" s="2"/>
      <c r="E382" s="89"/>
      <c r="F382" s="8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2"/>
      <c r="C383" s="2"/>
      <c r="D383" s="2"/>
      <c r="E383" s="89"/>
      <c r="F383" s="8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2"/>
      <c r="C384" s="2"/>
      <c r="D384" s="2"/>
      <c r="E384" s="89"/>
      <c r="F384" s="8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2"/>
      <c r="C385" s="2"/>
      <c r="D385" s="2"/>
      <c r="E385" s="89"/>
      <c r="F385" s="8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2"/>
      <c r="C386" s="2"/>
      <c r="D386" s="2"/>
      <c r="E386" s="89"/>
      <c r="F386" s="8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2"/>
      <c r="C387" s="2"/>
      <c r="D387" s="2"/>
      <c r="E387" s="89"/>
      <c r="F387" s="8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2"/>
      <c r="C388" s="2"/>
      <c r="D388" s="2"/>
      <c r="E388" s="89"/>
      <c r="F388" s="8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2"/>
      <c r="C389" s="2"/>
      <c r="D389" s="2"/>
      <c r="E389" s="89"/>
      <c r="F389" s="8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2"/>
      <c r="C390" s="2"/>
      <c r="D390" s="2"/>
      <c r="E390" s="89"/>
      <c r="F390" s="8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2"/>
      <c r="C391" s="2"/>
      <c r="D391" s="2"/>
      <c r="E391" s="89"/>
      <c r="F391" s="8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2"/>
      <c r="C392" s="2"/>
      <c r="D392" s="2"/>
      <c r="E392" s="89"/>
      <c r="F392" s="8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2"/>
      <c r="C393" s="2"/>
      <c r="D393" s="2"/>
      <c r="E393" s="89"/>
      <c r="F393" s="8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2"/>
      <c r="C394" s="2"/>
      <c r="D394" s="2"/>
      <c r="E394" s="89"/>
      <c r="F394" s="8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2"/>
      <c r="C395" s="2"/>
      <c r="D395" s="2"/>
      <c r="E395" s="89"/>
      <c r="F395" s="8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2"/>
      <c r="C396" s="2"/>
      <c r="D396" s="2"/>
      <c r="E396" s="89"/>
      <c r="F396" s="8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2"/>
      <c r="C397" s="2"/>
      <c r="D397" s="2"/>
      <c r="E397" s="89"/>
      <c r="F397" s="8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2"/>
      <c r="C398" s="2"/>
      <c r="D398" s="2"/>
      <c r="E398" s="89"/>
      <c r="F398" s="8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2"/>
      <c r="C399" s="2"/>
      <c r="D399" s="2"/>
      <c r="E399" s="89"/>
      <c r="F399" s="8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2"/>
      <c r="C400" s="2"/>
      <c r="D400" s="2"/>
      <c r="E400" s="89"/>
      <c r="F400" s="8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2"/>
      <c r="C401" s="2"/>
      <c r="D401" s="2"/>
      <c r="E401" s="89"/>
      <c r="F401" s="8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2"/>
      <c r="C402" s="2"/>
      <c r="D402" s="2"/>
      <c r="E402" s="89"/>
      <c r="F402" s="8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2"/>
      <c r="C403" s="2"/>
      <c r="D403" s="2"/>
      <c r="E403" s="89"/>
      <c r="F403" s="8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2"/>
      <c r="C404" s="2"/>
      <c r="D404" s="2"/>
      <c r="E404" s="89"/>
      <c r="F404" s="8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2"/>
      <c r="C405" s="2"/>
      <c r="D405" s="2"/>
      <c r="E405" s="89"/>
      <c r="F405" s="8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2"/>
      <c r="C406" s="2"/>
      <c r="D406" s="2"/>
      <c r="E406" s="89"/>
      <c r="F406" s="8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2"/>
      <c r="C407" s="2"/>
      <c r="D407" s="2"/>
      <c r="E407" s="89"/>
      <c r="F407" s="8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2"/>
      <c r="C408" s="2"/>
      <c r="D408" s="2"/>
      <c r="E408" s="89"/>
      <c r="F408" s="8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2"/>
      <c r="C409" s="2"/>
      <c r="D409" s="2"/>
      <c r="E409" s="89"/>
      <c r="F409" s="8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2"/>
      <c r="C410" s="2"/>
      <c r="D410" s="2"/>
      <c r="E410" s="89"/>
      <c r="F410" s="8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2"/>
      <c r="C411" s="2"/>
      <c r="D411" s="2"/>
      <c r="E411" s="89"/>
      <c r="F411" s="8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2"/>
      <c r="C412" s="2"/>
      <c r="D412" s="2"/>
      <c r="E412" s="89"/>
      <c r="F412" s="8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2"/>
      <c r="C413" s="2"/>
      <c r="D413" s="2"/>
      <c r="E413" s="89"/>
      <c r="F413" s="8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2"/>
      <c r="C414" s="2"/>
      <c r="D414" s="2"/>
      <c r="E414" s="89"/>
      <c r="F414" s="8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2"/>
      <c r="C415" s="2"/>
      <c r="D415" s="2"/>
      <c r="E415" s="89"/>
      <c r="F415" s="8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2"/>
      <c r="C416" s="2"/>
      <c r="D416" s="2"/>
      <c r="E416" s="89"/>
      <c r="F416" s="8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2"/>
      <c r="C417" s="2"/>
      <c r="D417" s="2"/>
      <c r="E417" s="89"/>
      <c r="F417" s="8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2"/>
      <c r="C418" s="2"/>
      <c r="D418" s="2"/>
      <c r="E418" s="89"/>
      <c r="F418" s="8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2"/>
      <c r="C419" s="2"/>
      <c r="D419" s="2"/>
      <c r="E419" s="89"/>
      <c r="F419" s="8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2"/>
      <c r="C420" s="2"/>
      <c r="D420" s="2"/>
      <c r="E420" s="89"/>
      <c r="F420" s="8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2"/>
      <c r="C421" s="2"/>
      <c r="D421" s="2"/>
      <c r="E421" s="89"/>
      <c r="F421" s="8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2"/>
      <c r="C422" s="2"/>
      <c r="D422" s="2"/>
      <c r="E422" s="89"/>
      <c r="F422" s="8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2"/>
      <c r="C423" s="2"/>
      <c r="D423" s="2"/>
      <c r="E423" s="89"/>
      <c r="F423" s="8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2"/>
      <c r="C424" s="2"/>
      <c r="D424" s="2"/>
      <c r="E424" s="89"/>
      <c r="F424" s="8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2"/>
      <c r="C425" s="2"/>
      <c r="D425" s="2"/>
      <c r="E425" s="89"/>
      <c r="F425" s="8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2"/>
      <c r="C426" s="2"/>
      <c r="D426" s="2"/>
      <c r="E426" s="89"/>
      <c r="F426" s="8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2"/>
      <c r="C427" s="2"/>
      <c r="D427" s="2"/>
      <c r="E427" s="89"/>
      <c r="F427" s="8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2"/>
      <c r="C428" s="2"/>
      <c r="D428" s="2"/>
      <c r="E428" s="89"/>
      <c r="F428" s="8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2"/>
      <c r="C429" s="2"/>
      <c r="D429" s="2"/>
      <c r="E429" s="89"/>
      <c r="F429" s="8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2"/>
      <c r="C430" s="2"/>
      <c r="D430" s="2"/>
      <c r="E430" s="89"/>
      <c r="F430" s="8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2"/>
      <c r="C431" s="2"/>
      <c r="D431" s="2"/>
      <c r="E431" s="89"/>
      <c r="F431" s="8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2"/>
      <c r="C432" s="2"/>
      <c r="D432" s="2"/>
      <c r="E432" s="89"/>
      <c r="F432" s="8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2"/>
      <c r="C433" s="2"/>
      <c r="D433" s="2"/>
      <c r="E433" s="89"/>
      <c r="F433" s="8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2"/>
      <c r="C434" s="2"/>
      <c r="D434" s="2"/>
      <c r="E434" s="89"/>
      <c r="F434" s="8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2"/>
      <c r="C435" s="2"/>
      <c r="D435" s="2"/>
      <c r="E435" s="89"/>
      <c r="F435" s="8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2"/>
      <c r="C436" s="2"/>
      <c r="D436" s="2"/>
      <c r="E436" s="89"/>
      <c r="F436" s="8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2"/>
      <c r="C437" s="2"/>
      <c r="D437" s="2"/>
      <c r="E437" s="89"/>
      <c r="F437" s="8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2"/>
      <c r="C438" s="2"/>
      <c r="D438" s="2"/>
      <c r="E438" s="89"/>
      <c r="F438" s="8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2"/>
      <c r="C439" s="2"/>
      <c r="D439" s="2"/>
      <c r="E439" s="89"/>
      <c r="F439" s="8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2"/>
      <c r="C440" s="2"/>
      <c r="D440" s="2"/>
      <c r="E440" s="89"/>
      <c r="F440" s="8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2"/>
      <c r="C441" s="2"/>
      <c r="D441" s="2"/>
      <c r="E441" s="89"/>
      <c r="F441" s="8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2"/>
      <c r="C442" s="2"/>
      <c r="D442" s="2"/>
      <c r="E442" s="89"/>
      <c r="F442" s="8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2"/>
      <c r="C443" s="2"/>
      <c r="D443" s="2"/>
      <c r="E443" s="89"/>
      <c r="F443" s="8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2"/>
      <c r="C444" s="2"/>
      <c r="D444" s="2"/>
      <c r="E444" s="89"/>
      <c r="F444" s="8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2"/>
      <c r="C445" s="2"/>
      <c r="D445" s="2"/>
      <c r="E445" s="89"/>
      <c r="F445" s="8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2"/>
      <c r="C446" s="2"/>
      <c r="D446" s="2"/>
      <c r="E446" s="89"/>
      <c r="F446" s="8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2"/>
      <c r="C447" s="2"/>
      <c r="D447" s="2"/>
      <c r="E447" s="89"/>
      <c r="F447" s="8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2"/>
      <c r="C448" s="2"/>
      <c r="D448" s="2"/>
      <c r="E448" s="89"/>
      <c r="F448" s="8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2"/>
      <c r="C449" s="2"/>
      <c r="D449" s="2"/>
      <c r="E449" s="89"/>
      <c r="F449" s="8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2"/>
      <c r="C450" s="2"/>
      <c r="D450" s="2"/>
      <c r="E450" s="89"/>
      <c r="F450" s="8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2"/>
      <c r="C451" s="2"/>
      <c r="D451" s="2"/>
      <c r="E451" s="89"/>
      <c r="F451" s="8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2"/>
      <c r="C452" s="2"/>
      <c r="D452" s="2"/>
      <c r="E452" s="89"/>
      <c r="F452" s="8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2"/>
      <c r="C453" s="2"/>
      <c r="D453" s="2"/>
      <c r="E453" s="89"/>
      <c r="F453" s="8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2"/>
      <c r="C454" s="2"/>
      <c r="D454" s="2"/>
      <c r="E454" s="89"/>
      <c r="F454" s="8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2"/>
      <c r="C455" s="2"/>
      <c r="D455" s="2"/>
      <c r="E455" s="89"/>
      <c r="F455" s="8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2"/>
      <c r="C456" s="2"/>
      <c r="D456" s="2"/>
      <c r="E456" s="89"/>
      <c r="F456" s="8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2"/>
      <c r="C457" s="2"/>
      <c r="D457" s="2"/>
      <c r="E457" s="89"/>
      <c r="F457" s="8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2"/>
      <c r="C458" s="2"/>
      <c r="D458" s="2"/>
      <c r="E458" s="89"/>
      <c r="F458" s="8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2"/>
      <c r="C459" s="2"/>
      <c r="D459" s="2"/>
      <c r="E459" s="89"/>
      <c r="F459" s="8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2"/>
      <c r="C460" s="2"/>
      <c r="D460" s="2"/>
      <c r="E460" s="89"/>
      <c r="F460" s="8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2"/>
      <c r="C461" s="2"/>
      <c r="D461" s="2"/>
      <c r="E461" s="89"/>
      <c r="F461" s="8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2"/>
      <c r="C462" s="2"/>
      <c r="D462" s="2"/>
      <c r="E462" s="89"/>
      <c r="F462" s="8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2"/>
      <c r="C463" s="2"/>
      <c r="D463" s="2"/>
      <c r="E463" s="89"/>
      <c r="F463" s="8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2"/>
      <c r="C464" s="2"/>
      <c r="D464" s="2"/>
      <c r="E464" s="89"/>
      <c r="F464" s="8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2"/>
      <c r="C465" s="2"/>
      <c r="D465" s="2"/>
      <c r="E465" s="89"/>
      <c r="F465" s="8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2"/>
      <c r="C466" s="2"/>
      <c r="D466" s="2"/>
      <c r="E466" s="89"/>
      <c r="F466" s="8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2"/>
      <c r="C467" s="2"/>
      <c r="D467" s="2"/>
      <c r="E467" s="89"/>
      <c r="F467" s="8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2"/>
      <c r="C468" s="2"/>
      <c r="D468" s="2"/>
      <c r="E468" s="89"/>
      <c r="F468" s="8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2"/>
      <c r="C469" s="2"/>
      <c r="D469" s="2"/>
      <c r="E469" s="89"/>
      <c r="F469" s="8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2"/>
      <c r="C470" s="2"/>
      <c r="D470" s="2"/>
      <c r="E470" s="89"/>
      <c r="F470" s="8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2"/>
      <c r="C471" s="2"/>
      <c r="D471" s="2"/>
      <c r="E471" s="89"/>
      <c r="F471" s="8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2"/>
      <c r="C472" s="2"/>
      <c r="D472" s="2"/>
      <c r="E472" s="89"/>
      <c r="F472" s="8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2"/>
      <c r="C473" s="2"/>
      <c r="D473" s="2"/>
      <c r="E473" s="89"/>
      <c r="F473" s="8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2"/>
      <c r="C474" s="2"/>
      <c r="D474" s="2"/>
      <c r="E474" s="89"/>
      <c r="F474" s="8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2"/>
      <c r="C475" s="2"/>
      <c r="D475" s="2"/>
      <c r="E475" s="89"/>
      <c r="F475" s="8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2"/>
      <c r="C476" s="2"/>
      <c r="D476" s="2"/>
      <c r="E476" s="89"/>
      <c r="F476" s="8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2"/>
      <c r="C477" s="2"/>
      <c r="D477" s="2"/>
      <c r="E477" s="89"/>
      <c r="F477" s="8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2"/>
      <c r="C478" s="2"/>
      <c r="D478" s="2"/>
      <c r="E478" s="89"/>
      <c r="F478" s="8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2"/>
      <c r="C479" s="2"/>
      <c r="D479" s="2"/>
      <c r="E479" s="89"/>
      <c r="F479" s="8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2"/>
      <c r="C480" s="2"/>
      <c r="D480" s="2"/>
      <c r="E480" s="89"/>
      <c r="F480" s="8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2"/>
      <c r="C481" s="2"/>
      <c r="D481" s="2"/>
      <c r="E481" s="89"/>
      <c r="F481" s="8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2"/>
      <c r="C482" s="2"/>
      <c r="D482" s="2"/>
      <c r="E482" s="89"/>
      <c r="F482" s="8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2"/>
      <c r="C483" s="2"/>
      <c r="D483" s="2"/>
      <c r="E483" s="89"/>
      <c r="F483" s="8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2"/>
      <c r="C484" s="2"/>
      <c r="D484" s="2"/>
      <c r="E484" s="89"/>
      <c r="F484" s="8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2"/>
      <c r="C485" s="2"/>
      <c r="D485" s="2"/>
      <c r="E485" s="89"/>
      <c r="F485" s="8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2"/>
      <c r="C486" s="2"/>
      <c r="D486" s="2"/>
      <c r="E486" s="89"/>
      <c r="F486" s="8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2"/>
      <c r="C487" s="2"/>
      <c r="D487" s="2"/>
      <c r="E487" s="89"/>
      <c r="F487" s="8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2"/>
      <c r="C488" s="2"/>
      <c r="D488" s="2"/>
      <c r="E488" s="89"/>
      <c r="F488" s="8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2"/>
      <c r="C489" s="2"/>
      <c r="D489" s="2"/>
      <c r="E489" s="89"/>
      <c r="F489" s="8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2"/>
      <c r="C490" s="2"/>
      <c r="D490" s="2"/>
      <c r="E490" s="89"/>
      <c r="F490" s="8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2"/>
      <c r="C491" s="2"/>
      <c r="D491" s="2"/>
      <c r="E491" s="89"/>
      <c r="F491" s="8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2"/>
      <c r="C492" s="2"/>
      <c r="D492" s="2"/>
      <c r="E492" s="89"/>
      <c r="F492" s="8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2"/>
      <c r="C493" s="2"/>
      <c r="D493" s="2"/>
      <c r="E493" s="89"/>
      <c r="F493" s="8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2"/>
      <c r="C494" s="2"/>
      <c r="D494" s="2"/>
      <c r="E494" s="89"/>
      <c r="F494" s="8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2"/>
      <c r="C495" s="2"/>
      <c r="D495" s="2"/>
      <c r="E495" s="89"/>
      <c r="F495" s="8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2"/>
      <c r="C496" s="2"/>
      <c r="D496" s="2"/>
      <c r="E496" s="89"/>
      <c r="F496" s="8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2"/>
      <c r="C497" s="2"/>
      <c r="D497" s="2"/>
      <c r="E497" s="89"/>
      <c r="F497" s="8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2"/>
      <c r="C498" s="2"/>
      <c r="D498" s="2"/>
      <c r="E498" s="89"/>
      <c r="F498" s="8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2"/>
      <c r="C499" s="2"/>
      <c r="D499" s="2"/>
      <c r="E499" s="89"/>
      <c r="F499" s="8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2"/>
      <c r="C500" s="2"/>
      <c r="D500" s="2"/>
      <c r="E500" s="89"/>
      <c r="F500" s="8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2"/>
      <c r="C501" s="2"/>
      <c r="D501" s="2"/>
      <c r="E501" s="89"/>
      <c r="F501" s="8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2"/>
      <c r="C502" s="2"/>
      <c r="D502" s="2"/>
      <c r="E502" s="89"/>
      <c r="F502" s="8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2"/>
      <c r="C503" s="2"/>
      <c r="D503" s="2"/>
      <c r="E503" s="89"/>
      <c r="F503" s="8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2"/>
      <c r="C504" s="2"/>
      <c r="D504" s="2"/>
      <c r="E504" s="89"/>
      <c r="F504" s="8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2"/>
      <c r="C505" s="2"/>
      <c r="D505" s="2"/>
      <c r="E505" s="89"/>
      <c r="F505" s="8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2"/>
      <c r="C506" s="2"/>
      <c r="D506" s="2"/>
      <c r="E506" s="89"/>
      <c r="F506" s="8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2"/>
      <c r="C507" s="2"/>
      <c r="D507" s="2"/>
      <c r="E507" s="89"/>
      <c r="F507" s="8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2"/>
      <c r="C508" s="2"/>
      <c r="D508" s="2"/>
      <c r="E508" s="89"/>
      <c r="F508" s="8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2"/>
      <c r="C509" s="2"/>
      <c r="D509" s="2"/>
      <c r="E509" s="89"/>
      <c r="F509" s="8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2"/>
      <c r="C510" s="2"/>
      <c r="D510" s="2"/>
      <c r="E510" s="89"/>
      <c r="F510" s="8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2"/>
      <c r="C511" s="2"/>
      <c r="D511" s="2"/>
      <c r="E511" s="89"/>
      <c r="F511" s="8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2"/>
      <c r="C512" s="2"/>
      <c r="D512" s="2"/>
      <c r="E512" s="89"/>
      <c r="F512" s="8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2"/>
      <c r="C513" s="2"/>
      <c r="D513" s="2"/>
      <c r="E513" s="89"/>
      <c r="F513" s="8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2"/>
      <c r="C514" s="2"/>
      <c r="D514" s="2"/>
      <c r="E514" s="89"/>
      <c r="F514" s="8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2"/>
      <c r="C515" s="2"/>
      <c r="D515" s="2"/>
      <c r="E515" s="89"/>
      <c r="F515" s="8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2"/>
      <c r="C516" s="2"/>
      <c r="D516" s="2"/>
      <c r="E516" s="89"/>
      <c r="F516" s="8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2"/>
      <c r="C517" s="2"/>
      <c r="D517" s="2"/>
      <c r="E517" s="89"/>
      <c r="F517" s="8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2"/>
      <c r="C518" s="2"/>
      <c r="D518" s="2"/>
      <c r="E518" s="89"/>
      <c r="F518" s="8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2"/>
      <c r="C519" s="2"/>
      <c r="D519" s="2"/>
      <c r="E519" s="89"/>
      <c r="F519" s="8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2"/>
      <c r="C520" s="2"/>
      <c r="D520" s="2"/>
      <c r="E520" s="89"/>
      <c r="F520" s="8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2"/>
      <c r="C521" s="2"/>
      <c r="D521" s="2"/>
      <c r="E521" s="89"/>
      <c r="F521" s="8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2"/>
      <c r="C522" s="2"/>
      <c r="D522" s="2"/>
      <c r="E522" s="89"/>
      <c r="F522" s="8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2"/>
      <c r="C523" s="2"/>
      <c r="D523" s="2"/>
      <c r="E523" s="89"/>
      <c r="F523" s="8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2"/>
      <c r="C524" s="2"/>
      <c r="D524" s="2"/>
      <c r="E524" s="89"/>
      <c r="F524" s="8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2"/>
      <c r="C525" s="2"/>
      <c r="D525" s="2"/>
      <c r="E525" s="89"/>
      <c r="F525" s="8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2"/>
      <c r="C526" s="2"/>
      <c r="D526" s="2"/>
      <c r="E526" s="89"/>
      <c r="F526" s="8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2"/>
      <c r="C527" s="2"/>
      <c r="D527" s="2"/>
      <c r="E527" s="89"/>
      <c r="F527" s="8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2"/>
      <c r="C528" s="2"/>
      <c r="D528" s="2"/>
      <c r="E528" s="89"/>
      <c r="F528" s="8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2"/>
      <c r="C529" s="2"/>
      <c r="D529" s="2"/>
      <c r="E529" s="89"/>
      <c r="F529" s="8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2"/>
      <c r="C530" s="2"/>
      <c r="D530" s="2"/>
      <c r="E530" s="89"/>
      <c r="F530" s="8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2"/>
      <c r="C531" s="2"/>
      <c r="D531" s="2"/>
      <c r="E531" s="89"/>
      <c r="F531" s="8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2"/>
      <c r="C532" s="2"/>
      <c r="D532" s="2"/>
      <c r="E532" s="89"/>
      <c r="F532" s="8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2"/>
      <c r="C533" s="2"/>
      <c r="D533" s="2"/>
      <c r="E533" s="89"/>
      <c r="F533" s="8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2"/>
      <c r="C534" s="2"/>
      <c r="D534" s="2"/>
      <c r="E534" s="89"/>
      <c r="F534" s="8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2"/>
      <c r="C535" s="2"/>
      <c r="D535" s="2"/>
      <c r="E535" s="89"/>
      <c r="F535" s="8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2"/>
      <c r="C536" s="2"/>
      <c r="D536" s="2"/>
      <c r="E536" s="89"/>
      <c r="F536" s="8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2"/>
      <c r="C537" s="2"/>
      <c r="D537" s="2"/>
      <c r="E537" s="89"/>
      <c r="F537" s="8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2"/>
      <c r="C538" s="2"/>
      <c r="D538" s="2"/>
      <c r="E538" s="89"/>
      <c r="F538" s="8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2"/>
      <c r="C539" s="2"/>
      <c r="D539" s="2"/>
      <c r="E539" s="89"/>
      <c r="F539" s="8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2"/>
      <c r="C540" s="2"/>
      <c r="D540" s="2"/>
      <c r="E540" s="89"/>
      <c r="F540" s="8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2"/>
      <c r="C541" s="2"/>
      <c r="D541" s="2"/>
      <c r="E541" s="89"/>
      <c r="F541" s="8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2"/>
      <c r="C542" s="2"/>
      <c r="D542" s="2"/>
      <c r="E542" s="89"/>
      <c r="F542" s="8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2"/>
      <c r="C543" s="2"/>
      <c r="D543" s="2"/>
      <c r="E543" s="89"/>
      <c r="F543" s="8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2"/>
      <c r="C544" s="2"/>
      <c r="D544" s="2"/>
      <c r="E544" s="89"/>
      <c r="F544" s="8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2"/>
      <c r="C545" s="2"/>
      <c r="D545" s="2"/>
      <c r="E545" s="89"/>
      <c r="F545" s="8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2"/>
      <c r="C546" s="2"/>
      <c r="D546" s="2"/>
      <c r="E546" s="89"/>
      <c r="F546" s="8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2"/>
      <c r="C547" s="2"/>
      <c r="D547" s="2"/>
      <c r="E547" s="89"/>
      <c r="F547" s="8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2"/>
      <c r="C548" s="2"/>
      <c r="D548" s="2"/>
      <c r="E548" s="89"/>
      <c r="F548" s="8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2"/>
      <c r="C549" s="2"/>
      <c r="D549" s="2"/>
      <c r="E549" s="89"/>
      <c r="F549" s="8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2"/>
      <c r="C550" s="2"/>
      <c r="D550" s="2"/>
      <c r="E550" s="89"/>
      <c r="F550" s="8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2"/>
      <c r="C551" s="2"/>
      <c r="D551" s="2"/>
      <c r="E551" s="89"/>
      <c r="F551" s="8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2"/>
      <c r="C552" s="2"/>
      <c r="D552" s="2"/>
      <c r="E552" s="89"/>
      <c r="F552" s="8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2"/>
      <c r="C553" s="2"/>
      <c r="D553" s="2"/>
      <c r="E553" s="89"/>
      <c r="F553" s="8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2"/>
      <c r="C554" s="2"/>
      <c r="D554" s="2"/>
      <c r="E554" s="89"/>
      <c r="F554" s="8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2"/>
      <c r="C555" s="2"/>
      <c r="D555" s="2"/>
      <c r="E555" s="89"/>
      <c r="F555" s="8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2"/>
      <c r="C556" s="2"/>
      <c r="D556" s="2"/>
      <c r="E556" s="89"/>
      <c r="F556" s="8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2"/>
      <c r="C557" s="2"/>
      <c r="D557" s="2"/>
      <c r="E557" s="89"/>
      <c r="F557" s="8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2"/>
      <c r="C558" s="2"/>
      <c r="D558" s="2"/>
      <c r="E558" s="89"/>
      <c r="F558" s="8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2"/>
      <c r="C559" s="2"/>
      <c r="D559" s="2"/>
      <c r="E559" s="89"/>
      <c r="F559" s="8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2"/>
      <c r="C560" s="2"/>
      <c r="D560" s="2"/>
      <c r="E560" s="89"/>
      <c r="F560" s="8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2"/>
      <c r="C561" s="2"/>
      <c r="D561" s="2"/>
      <c r="E561" s="89"/>
      <c r="F561" s="8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2"/>
      <c r="C562" s="2"/>
      <c r="D562" s="2"/>
      <c r="E562" s="89"/>
      <c r="F562" s="8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2"/>
      <c r="C563" s="2"/>
      <c r="D563" s="2"/>
      <c r="E563" s="89"/>
      <c r="F563" s="8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2"/>
      <c r="C564" s="2"/>
      <c r="D564" s="2"/>
      <c r="E564" s="89"/>
      <c r="F564" s="8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2"/>
      <c r="C565" s="2"/>
      <c r="D565" s="2"/>
      <c r="E565" s="89"/>
      <c r="F565" s="8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2"/>
      <c r="C566" s="2"/>
      <c r="D566" s="2"/>
      <c r="E566" s="89"/>
      <c r="F566" s="8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2"/>
      <c r="C567" s="2"/>
      <c r="D567" s="2"/>
      <c r="E567" s="89"/>
      <c r="F567" s="8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2"/>
      <c r="C568" s="2"/>
      <c r="D568" s="2"/>
      <c r="E568" s="89"/>
      <c r="F568" s="8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2"/>
      <c r="C569" s="2"/>
      <c r="D569" s="2"/>
      <c r="E569" s="89"/>
      <c r="F569" s="8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2"/>
      <c r="C570" s="2"/>
      <c r="D570" s="2"/>
      <c r="E570" s="89"/>
      <c r="F570" s="8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2"/>
      <c r="C571" s="2"/>
      <c r="D571" s="2"/>
      <c r="E571" s="89"/>
      <c r="F571" s="8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2"/>
      <c r="C572" s="2"/>
      <c r="D572" s="2"/>
      <c r="E572" s="89"/>
      <c r="F572" s="8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2"/>
      <c r="C573" s="2"/>
      <c r="D573" s="2"/>
      <c r="E573" s="89"/>
      <c r="F573" s="8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2"/>
      <c r="C574" s="2"/>
      <c r="D574" s="2"/>
      <c r="E574" s="89"/>
      <c r="F574" s="8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2"/>
      <c r="C575" s="2"/>
      <c r="D575" s="2"/>
      <c r="E575" s="89"/>
      <c r="F575" s="8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2"/>
      <c r="C576" s="2"/>
      <c r="D576" s="2"/>
      <c r="E576" s="89"/>
      <c r="F576" s="8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2"/>
      <c r="C577" s="2"/>
      <c r="D577" s="2"/>
      <c r="E577" s="89"/>
      <c r="F577" s="8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2"/>
      <c r="C578" s="2"/>
      <c r="D578" s="2"/>
      <c r="E578" s="89"/>
      <c r="F578" s="8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2"/>
      <c r="C579" s="2"/>
      <c r="D579" s="2"/>
      <c r="E579" s="89"/>
      <c r="F579" s="8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2"/>
      <c r="C580" s="2"/>
      <c r="D580" s="2"/>
      <c r="E580" s="89"/>
      <c r="F580" s="8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2"/>
      <c r="C581" s="2"/>
      <c r="D581" s="2"/>
      <c r="E581" s="89"/>
      <c r="F581" s="8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2"/>
      <c r="C582" s="2"/>
      <c r="D582" s="2"/>
      <c r="E582" s="89"/>
      <c r="F582" s="8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2"/>
      <c r="C583" s="2"/>
      <c r="D583" s="2"/>
      <c r="E583" s="89"/>
      <c r="F583" s="8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2"/>
      <c r="C584" s="2"/>
      <c r="D584" s="2"/>
      <c r="E584" s="89"/>
      <c r="F584" s="8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2"/>
      <c r="C585" s="2"/>
      <c r="D585" s="2"/>
      <c r="E585" s="89"/>
      <c r="F585" s="8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2"/>
      <c r="C586" s="2"/>
      <c r="D586" s="2"/>
      <c r="E586" s="89"/>
      <c r="F586" s="8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2"/>
      <c r="C587" s="2"/>
      <c r="D587" s="2"/>
      <c r="E587" s="89"/>
      <c r="F587" s="8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2"/>
      <c r="C588" s="2"/>
      <c r="D588" s="2"/>
      <c r="E588" s="89"/>
      <c r="F588" s="8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2"/>
      <c r="C589" s="2"/>
      <c r="D589" s="2"/>
      <c r="E589" s="89"/>
      <c r="F589" s="8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2"/>
      <c r="C590" s="2"/>
      <c r="D590" s="2"/>
      <c r="E590" s="89"/>
      <c r="F590" s="8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2"/>
      <c r="C591" s="2"/>
      <c r="D591" s="2"/>
      <c r="E591" s="89"/>
      <c r="F591" s="8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2"/>
      <c r="C592" s="2"/>
      <c r="D592" s="2"/>
      <c r="E592" s="89"/>
      <c r="F592" s="8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2"/>
      <c r="C593" s="2"/>
      <c r="D593" s="2"/>
      <c r="E593" s="89"/>
      <c r="F593" s="8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2"/>
      <c r="C594" s="2"/>
      <c r="D594" s="2"/>
      <c r="E594" s="89"/>
      <c r="F594" s="8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2"/>
      <c r="C595" s="2"/>
      <c r="D595" s="2"/>
      <c r="E595" s="89"/>
      <c r="F595" s="8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2"/>
      <c r="C596" s="2"/>
      <c r="D596" s="2"/>
      <c r="E596" s="89"/>
      <c r="F596" s="8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2"/>
      <c r="C597" s="2"/>
      <c r="D597" s="2"/>
      <c r="E597" s="89"/>
      <c r="F597" s="8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2"/>
      <c r="C598" s="2"/>
      <c r="D598" s="2"/>
      <c r="E598" s="89"/>
      <c r="F598" s="8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2"/>
      <c r="C599" s="2"/>
      <c r="D599" s="2"/>
      <c r="E599" s="89"/>
      <c r="F599" s="8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2"/>
      <c r="C600" s="2"/>
      <c r="D600" s="2"/>
      <c r="E600" s="89"/>
      <c r="F600" s="8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2"/>
      <c r="C601" s="2"/>
      <c r="D601" s="2"/>
      <c r="E601" s="89"/>
      <c r="F601" s="8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2"/>
      <c r="C602" s="2"/>
      <c r="D602" s="2"/>
      <c r="E602" s="89"/>
      <c r="F602" s="8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2"/>
      <c r="C603" s="2"/>
      <c r="D603" s="2"/>
      <c r="E603" s="89"/>
      <c r="F603" s="8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2"/>
      <c r="C604" s="2"/>
      <c r="D604" s="2"/>
      <c r="E604" s="89"/>
      <c r="F604" s="8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2"/>
      <c r="C605" s="2"/>
      <c r="D605" s="2"/>
      <c r="E605" s="89"/>
      <c r="F605" s="8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2"/>
      <c r="C606" s="2"/>
      <c r="D606" s="2"/>
      <c r="E606" s="89"/>
      <c r="F606" s="8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2"/>
      <c r="C607" s="2"/>
      <c r="D607" s="2"/>
      <c r="E607" s="89"/>
      <c r="F607" s="8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2"/>
      <c r="C608" s="2"/>
      <c r="D608" s="2"/>
      <c r="E608" s="89"/>
      <c r="F608" s="8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2"/>
      <c r="C609" s="2"/>
      <c r="D609" s="2"/>
      <c r="E609" s="89"/>
      <c r="F609" s="8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2"/>
      <c r="C610" s="2"/>
      <c r="D610" s="2"/>
      <c r="E610" s="89"/>
      <c r="F610" s="8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2"/>
      <c r="C611" s="2"/>
      <c r="D611" s="2"/>
      <c r="E611" s="89"/>
      <c r="F611" s="8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2"/>
      <c r="C612" s="2"/>
      <c r="D612" s="2"/>
      <c r="E612" s="89"/>
      <c r="F612" s="8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2"/>
      <c r="C613" s="2"/>
      <c r="D613" s="2"/>
      <c r="E613" s="89"/>
      <c r="F613" s="8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2"/>
      <c r="C614" s="2"/>
      <c r="D614" s="2"/>
      <c r="E614" s="89"/>
      <c r="F614" s="8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2"/>
      <c r="C615" s="2"/>
      <c r="D615" s="2"/>
      <c r="E615" s="89"/>
      <c r="F615" s="8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2"/>
      <c r="C616" s="2"/>
      <c r="D616" s="2"/>
      <c r="E616" s="89"/>
      <c r="F616" s="8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2"/>
      <c r="C617" s="2"/>
      <c r="D617" s="2"/>
      <c r="E617" s="89"/>
      <c r="F617" s="8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2"/>
      <c r="C618" s="2"/>
      <c r="D618" s="2"/>
      <c r="E618" s="89"/>
      <c r="F618" s="8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2"/>
      <c r="C619" s="2"/>
      <c r="D619" s="2"/>
      <c r="E619" s="89"/>
      <c r="F619" s="8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2"/>
      <c r="C620" s="2"/>
      <c r="D620" s="2"/>
      <c r="E620" s="89"/>
      <c r="F620" s="8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2"/>
      <c r="C621" s="2"/>
      <c r="D621" s="2"/>
      <c r="E621" s="89"/>
      <c r="F621" s="8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2"/>
      <c r="C622" s="2"/>
      <c r="D622" s="2"/>
      <c r="E622" s="89"/>
      <c r="F622" s="8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2"/>
      <c r="C623" s="2"/>
      <c r="D623" s="2"/>
      <c r="E623" s="89"/>
      <c r="F623" s="8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2"/>
      <c r="C624" s="2"/>
      <c r="D624" s="2"/>
      <c r="E624" s="89"/>
      <c r="F624" s="8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2"/>
      <c r="C625" s="2"/>
      <c r="D625" s="2"/>
      <c r="E625" s="89"/>
      <c r="F625" s="8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2"/>
      <c r="C626" s="2"/>
      <c r="D626" s="2"/>
      <c r="E626" s="89"/>
      <c r="F626" s="8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2"/>
      <c r="C627" s="2"/>
      <c r="D627" s="2"/>
      <c r="E627" s="89"/>
      <c r="F627" s="8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2"/>
      <c r="C628" s="2"/>
      <c r="D628" s="2"/>
      <c r="E628" s="89"/>
      <c r="F628" s="8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2"/>
      <c r="C629" s="2"/>
      <c r="D629" s="2"/>
      <c r="E629" s="89"/>
      <c r="F629" s="8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2"/>
      <c r="C630" s="2"/>
      <c r="D630" s="2"/>
      <c r="E630" s="89"/>
      <c r="F630" s="8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2"/>
      <c r="C631" s="2"/>
      <c r="D631" s="2"/>
      <c r="E631" s="89"/>
      <c r="F631" s="8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2"/>
      <c r="C632" s="2"/>
      <c r="D632" s="2"/>
      <c r="E632" s="89"/>
      <c r="F632" s="8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2"/>
      <c r="C633" s="2"/>
      <c r="D633" s="2"/>
      <c r="E633" s="89"/>
      <c r="F633" s="8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2"/>
      <c r="C634" s="2"/>
      <c r="D634" s="2"/>
      <c r="E634" s="89"/>
      <c r="F634" s="8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2"/>
      <c r="C635" s="2"/>
      <c r="D635" s="2"/>
      <c r="E635" s="89"/>
      <c r="F635" s="8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2"/>
      <c r="C636" s="2"/>
      <c r="D636" s="2"/>
      <c r="E636" s="89"/>
      <c r="F636" s="8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2"/>
      <c r="C637" s="2"/>
      <c r="D637" s="2"/>
      <c r="E637" s="89"/>
      <c r="F637" s="8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2"/>
      <c r="C638" s="2"/>
      <c r="D638" s="2"/>
      <c r="E638" s="89"/>
      <c r="F638" s="8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2"/>
      <c r="C639" s="2"/>
      <c r="D639" s="2"/>
      <c r="E639" s="89"/>
      <c r="F639" s="8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2"/>
      <c r="C640" s="2"/>
      <c r="D640" s="2"/>
      <c r="E640" s="89"/>
      <c r="F640" s="8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2"/>
      <c r="C641" s="2"/>
      <c r="D641" s="2"/>
      <c r="E641" s="89"/>
      <c r="F641" s="8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2"/>
      <c r="C642" s="2"/>
      <c r="D642" s="2"/>
      <c r="E642" s="89"/>
      <c r="F642" s="8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2"/>
      <c r="C643" s="2"/>
      <c r="D643" s="2"/>
      <c r="E643" s="89"/>
      <c r="F643" s="8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2"/>
      <c r="C644" s="2"/>
      <c r="D644" s="2"/>
      <c r="E644" s="89"/>
      <c r="F644" s="8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2"/>
      <c r="C645" s="2"/>
      <c r="D645" s="2"/>
      <c r="E645" s="89"/>
      <c r="F645" s="8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2"/>
      <c r="C646" s="2"/>
      <c r="D646" s="2"/>
      <c r="E646" s="89"/>
      <c r="F646" s="8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2"/>
      <c r="C647" s="2"/>
      <c r="D647" s="2"/>
      <c r="E647" s="89"/>
      <c r="F647" s="8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2"/>
      <c r="C648" s="2"/>
      <c r="D648" s="2"/>
      <c r="E648" s="89"/>
      <c r="F648" s="8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2"/>
      <c r="C649" s="2"/>
      <c r="D649" s="2"/>
      <c r="E649" s="89"/>
      <c r="F649" s="8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2"/>
      <c r="C650" s="2"/>
      <c r="D650" s="2"/>
      <c r="E650" s="89"/>
      <c r="F650" s="8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2"/>
      <c r="C651" s="2"/>
      <c r="D651" s="2"/>
      <c r="E651" s="89"/>
      <c r="F651" s="8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2"/>
      <c r="C652" s="2"/>
      <c r="D652" s="2"/>
      <c r="E652" s="89"/>
      <c r="F652" s="8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2"/>
      <c r="C653" s="2"/>
      <c r="D653" s="2"/>
      <c r="E653" s="89"/>
      <c r="F653" s="8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2"/>
      <c r="C654" s="2"/>
      <c r="D654" s="2"/>
      <c r="E654" s="89"/>
      <c r="F654" s="8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2"/>
      <c r="C655" s="2"/>
      <c r="D655" s="2"/>
      <c r="E655" s="89"/>
      <c r="F655" s="8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2"/>
      <c r="C656" s="2"/>
      <c r="D656" s="2"/>
      <c r="E656" s="89"/>
      <c r="F656" s="8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2"/>
      <c r="C657" s="2"/>
      <c r="D657" s="2"/>
      <c r="E657" s="89"/>
      <c r="F657" s="8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2"/>
      <c r="C658" s="2"/>
      <c r="D658" s="2"/>
      <c r="E658" s="89"/>
      <c r="F658" s="8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2"/>
      <c r="C659" s="2"/>
      <c r="D659" s="2"/>
      <c r="E659" s="89"/>
      <c r="F659" s="8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2"/>
      <c r="C660" s="2"/>
      <c r="D660" s="2"/>
      <c r="E660" s="89"/>
      <c r="F660" s="8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2"/>
      <c r="C661" s="2"/>
      <c r="D661" s="2"/>
      <c r="E661" s="89"/>
      <c r="F661" s="8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2"/>
      <c r="C662" s="2"/>
      <c r="D662" s="2"/>
      <c r="E662" s="89"/>
      <c r="F662" s="8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2"/>
      <c r="C663" s="2"/>
      <c r="D663" s="2"/>
      <c r="E663" s="89"/>
      <c r="F663" s="8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2"/>
      <c r="C664" s="2"/>
      <c r="D664" s="2"/>
      <c r="E664" s="89"/>
      <c r="F664" s="8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2"/>
      <c r="C665" s="2"/>
      <c r="D665" s="2"/>
      <c r="E665" s="89"/>
      <c r="F665" s="8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2"/>
      <c r="C666" s="2"/>
      <c r="D666" s="2"/>
      <c r="E666" s="89"/>
      <c r="F666" s="8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2"/>
      <c r="C667" s="2"/>
      <c r="D667" s="2"/>
      <c r="E667" s="89"/>
      <c r="F667" s="8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2"/>
      <c r="C668" s="2"/>
      <c r="D668" s="2"/>
      <c r="E668" s="89"/>
      <c r="F668" s="8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2"/>
      <c r="C669" s="2"/>
      <c r="D669" s="2"/>
      <c r="E669" s="89"/>
      <c r="F669" s="8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2"/>
      <c r="C670" s="2"/>
      <c r="D670" s="2"/>
      <c r="E670" s="89"/>
      <c r="F670" s="8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2"/>
      <c r="C671" s="2"/>
      <c r="D671" s="2"/>
      <c r="E671" s="89"/>
      <c r="F671" s="8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2"/>
      <c r="C672" s="2"/>
      <c r="D672" s="2"/>
      <c r="E672" s="89"/>
      <c r="F672" s="8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2"/>
      <c r="C673" s="2"/>
      <c r="D673" s="2"/>
      <c r="E673" s="89"/>
      <c r="F673" s="8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2"/>
      <c r="C674" s="2"/>
      <c r="D674" s="2"/>
      <c r="E674" s="89"/>
      <c r="F674" s="8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2"/>
      <c r="C675" s="2"/>
      <c r="D675" s="2"/>
      <c r="E675" s="89"/>
      <c r="F675" s="8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2"/>
      <c r="C676" s="2"/>
      <c r="D676" s="2"/>
      <c r="E676" s="89"/>
      <c r="F676" s="8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2"/>
      <c r="C677" s="2"/>
      <c r="D677" s="2"/>
      <c r="E677" s="89"/>
      <c r="F677" s="8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2"/>
      <c r="C678" s="2"/>
      <c r="D678" s="2"/>
      <c r="E678" s="89"/>
      <c r="F678" s="8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2"/>
      <c r="C679" s="2"/>
      <c r="D679" s="2"/>
      <c r="E679" s="89"/>
      <c r="F679" s="8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2"/>
      <c r="C680" s="2"/>
      <c r="D680" s="2"/>
      <c r="E680" s="89"/>
      <c r="F680" s="8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2"/>
      <c r="C681" s="2"/>
      <c r="D681" s="2"/>
      <c r="E681" s="89"/>
      <c r="F681" s="8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2"/>
      <c r="C682" s="2"/>
      <c r="D682" s="2"/>
      <c r="E682" s="89"/>
      <c r="F682" s="8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2"/>
      <c r="C683" s="2"/>
      <c r="D683" s="2"/>
      <c r="E683" s="89"/>
      <c r="F683" s="8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2"/>
      <c r="C684" s="2"/>
      <c r="D684" s="2"/>
      <c r="E684" s="89"/>
      <c r="F684" s="8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2"/>
      <c r="C685" s="2"/>
      <c r="D685" s="2"/>
      <c r="E685" s="89"/>
      <c r="F685" s="8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2"/>
      <c r="C686" s="2"/>
      <c r="D686" s="2"/>
      <c r="E686" s="89"/>
      <c r="F686" s="8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2"/>
      <c r="C687" s="2"/>
      <c r="D687" s="2"/>
      <c r="E687" s="89"/>
      <c r="F687" s="8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2"/>
      <c r="C688" s="2"/>
      <c r="D688" s="2"/>
      <c r="E688" s="89"/>
      <c r="F688" s="8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2"/>
      <c r="C689" s="2"/>
      <c r="D689" s="2"/>
      <c r="E689" s="89"/>
      <c r="F689" s="8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2"/>
      <c r="C690" s="2"/>
      <c r="D690" s="2"/>
      <c r="E690" s="89"/>
      <c r="F690" s="8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2"/>
      <c r="C691" s="2"/>
      <c r="D691" s="2"/>
      <c r="E691" s="89"/>
      <c r="F691" s="8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2"/>
      <c r="C692" s="2"/>
      <c r="D692" s="2"/>
      <c r="E692" s="89"/>
      <c r="F692" s="8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2"/>
      <c r="C693" s="2"/>
      <c r="D693" s="2"/>
      <c r="E693" s="89"/>
      <c r="F693" s="8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2"/>
      <c r="C694" s="2"/>
      <c r="D694" s="2"/>
      <c r="E694" s="89"/>
      <c r="F694" s="8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2"/>
      <c r="C695" s="2"/>
      <c r="D695" s="2"/>
      <c r="E695" s="89"/>
      <c r="F695" s="8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2"/>
      <c r="C696" s="2"/>
      <c r="D696" s="2"/>
      <c r="E696" s="89"/>
      <c r="F696" s="8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2"/>
      <c r="C697" s="2"/>
      <c r="D697" s="2"/>
      <c r="E697" s="89"/>
      <c r="F697" s="8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2"/>
      <c r="C698" s="2"/>
      <c r="D698" s="2"/>
      <c r="E698" s="89"/>
      <c r="F698" s="8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2"/>
      <c r="C699" s="2"/>
      <c r="D699" s="2"/>
      <c r="E699" s="89"/>
      <c r="F699" s="8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2"/>
      <c r="C700" s="2"/>
      <c r="D700" s="2"/>
      <c r="E700" s="89"/>
      <c r="F700" s="8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2"/>
      <c r="C701" s="2"/>
      <c r="D701" s="2"/>
      <c r="E701" s="89"/>
      <c r="F701" s="8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2"/>
      <c r="C702" s="2"/>
      <c r="D702" s="2"/>
      <c r="E702" s="89"/>
      <c r="F702" s="8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2"/>
      <c r="C703" s="2"/>
      <c r="D703" s="2"/>
      <c r="E703" s="89"/>
      <c r="F703" s="8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2"/>
      <c r="C704" s="2"/>
      <c r="D704" s="2"/>
      <c r="E704" s="89"/>
      <c r="F704" s="8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2"/>
      <c r="C705" s="2"/>
      <c r="D705" s="2"/>
      <c r="E705" s="89"/>
      <c r="F705" s="8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2"/>
      <c r="C706" s="2"/>
      <c r="D706" s="2"/>
      <c r="E706" s="89"/>
      <c r="F706" s="8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2"/>
      <c r="C707" s="2"/>
      <c r="D707" s="2"/>
      <c r="E707" s="89"/>
      <c r="F707" s="8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2"/>
      <c r="C708" s="2"/>
      <c r="D708" s="2"/>
      <c r="E708" s="89"/>
      <c r="F708" s="8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2"/>
      <c r="C709" s="2"/>
      <c r="D709" s="2"/>
      <c r="E709" s="89"/>
      <c r="F709" s="8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2"/>
      <c r="C710" s="2"/>
      <c r="D710" s="2"/>
      <c r="E710" s="89"/>
      <c r="F710" s="8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2"/>
      <c r="C711" s="2"/>
      <c r="D711" s="2"/>
      <c r="E711" s="89"/>
      <c r="F711" s="8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2"/>
      <c r="C712" s="2"/>
      <c r="D712" s="2"/>
      <c r="E712" s="89"/>
      <c r="F712" s="8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2"/>
      <c r="C713" s="2"/>
      <c r="D713" s="2"/>
      <c r="E713" s="89"/>
      <c r="F713" s="8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2"/>
      <c r="C714" s="2"/>
      <c r="D714" s="2"/>
      <c r="E714" s="89"/>
      <c r="F714" s="8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2"/>
      <c r="C715" s="2"/>
      <c r="D715" s="2"/>
      <c r="E715" s="89"/>
      <c r="F715" s="8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2"/>
      <c r="C716" s="2"/>
      <c r="D716" s="2"/>
      <c r="E716" s="89"/>
      <c r="F716" s="8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2"/>
      <c r="C717" s="2"/>
      <c r="D717" s="2"/>
      <c r="E717" s="89"/>
      <c r="F717" s="8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2"/>
      <c r="C718" s="2"/>
      <c r="D718" s="2"/>
      <c r="E718" s="89"/>
      <c r="F718" s="8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2"/>
      <c r="C719" s="2"/>
      <c r="D719" s="2"/>
      <c r="E719" s="89"/>
      <c r="F719" s="8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2"/>
      <c r="C720" s="2"/>
      <c r="D720" s="2"/>
      <c r="E720" s="89"/>
      <c r="F720" s="8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2"/>
      <c r="C721" s="2"/>
      <c r="D721" s="2"/>
      <c r="E721" s="89"/>
      <c r="F721" s="8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2"/>
      <c r="C722" s="2"/>
      <c r="D722" s="2"/>
      <c r="E722" s="89"/>
      <c r="F722" s="8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2"/>
      <c r="C723" s="2"/>
      <c r="D723" s="2"/>
      <c r="E723" s="89"/>
      <c r="F723" s="8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2"/>
      <c r="C724" s="2"/>
      <c r="D724" s="2"/>
      <c r="E724" s="89"/>
      <c r="F724" s="8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2"/>
      <c r="C725" s="2"/>
      <c r="D725" s="2"/>
      <c r="E725" s="89"/>
      <c r="F725" s="8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2"/>
      <c r="C726" s="2"/>
      <c r="D726" s="2"/>
      <c r="E726" s="89"/>
      <c r="F726" s="8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2"/>
      <c r="C727" s="2"/>
      <c r="D727" s="2"/>
      <c r="E727" s="89"/>
      <c r="F727" s="8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2"/>
      <c r="C728" s="2"/>
      <c r="D728" s="2"/>
      <c r="E728" s="89"/>
      <c r="F728" s="8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2"/>
      <c r="C729" s="2"/>
      <c r="D729" s="2"/>
      <c r="E729" s="89"/>
      <c r="F729" s="8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2"/>
      <c r="C730" s="2"/>
      <c r="D730" s="2"/>
      <c r="E730" s="89"/>
      <c r="F730" s="8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2"/>
      <c r="C731" s="2"/>
      <c r="D731" s="2"/>
      <c r="E731" s="89"/>
      <c r="F731" s="8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2"/>
      <c r="C732" s="2"/>
      <c r="D732" s="2"/>
      <c r="E732" s="89"/>
      <c r="F732" s="8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2"/>
      <c r="C733" s="2"/>
      <c r="D733" s="2"/>
      <c r="E733" s="89"/>
      <c r="F733" s="8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2"/>
      <c r="C734" s="2"/>
      <c r="D734" s="2"/>
      <c r="E734" s="89"/>
      <c r="F734" s="8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2"/>
      <c r="C735" s="2"/>
      <c r="D735" s="2"/>
      <c r="E735" s="89"/>
      <c r="F735" s="8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2"/>
      <c r="C736" s="2"/>
      <c r="D736" s="2"/>
      <c r="E736" s="89"/>
      <c r="F736" s="8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2"/>
      <c r="C737" s="2"/>
      <c r="D737" s="2"/>
      <c r="E737" s="89"/>
      <c r="F737" s="8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2"/>
      <c r="C738" s="2"/>
      <c r="D738" s="2"/>
      <c r="E738" s="89"/>
      <c r="F738" s="8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2"/>
      <c r="C739" s="2"/>
      <c r="D739" s="2"/>
      <c r="E739" s="89"/>
      <c r="F739" s="8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2"/>
      <c r="C740" s="2"/>
      <c r="D740" s="2"/>
      <c r="E740" s="89"/>
      <c r="F740" s="8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2"/>
      <c r="C741" s="2"/>
      <c r="D741" s="2"/>
      <c r="E741" s="89"/>
      <c r="F741" s="8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2"/>
      <c r="C742" s="2"/>
      <c r="D742" s="2"/>
      <c r="E742" s="89"/>
      <c r="F742" s="8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2"/>
      <c r="C743" s="2"/>
      <c r="D743" s="2"/>
      <c r="E743" s="89"/>
      <c r="F743" s="8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2"/>
      <c r="C744" s="2"/>
      <c r="D744" s="2"/>
      <c r="E744" s="89"/>
      <c r="F744" s="8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2"/>
      <c r="C745" s="2"/>
      <c r="D745" s="2"/>
      <c r="E745" s="89"/>
      <c r="F745" s="8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2"/>
      <c r="C746" s="2"/>
      <c r="D746" s="2"/>
      <c r="E746" s="89"/>
      <c r="F746" s="8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2"/>
      <c r="C747" s="2"/>
      <c r="D747" s="2"/>
      <c r="E747" s="89"/>
      <c r="F747" s="8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2"/>
      <c r="C748" s="2"/>
      <c r="D748" s="2"/>
      <c r="E748" s="89"/>
      <c r="F748" s="8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2"/>
      <c r="C749" s="2"/>
      <c r="D749" s="2"/>
      <c r="E749" s="89"/>
      <c r="F749" s="8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2"/>
      <c r="C750" s="2"/>
      <c r="D750" s="2"/>
      <c r="E750" s="89"/>
      <c r="F750" s="8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2"/>
      <c r="C751" s="2"/>
      <c r="D751" s="2"/>
      <c r="E751" s="89"/>
      <c r="F751" s="8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2"/>
      <c r="C752" s="2"/>
      <c r="D752" s="2"/>
      <c r="E752" s="89"/>
      <c r="F752" s="8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2"/>
      <c r="C753" s="2"/>
      <c r="D753" s="2"/>
      <c r="E753" s="89"/>
      <c r="F753" s="8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2"/>
      <c r="C754" s="2"/>
      <c r="D754" s="2"/>
      <c r="E754" s="89"/>
      <c r="F754" s="8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2"/>
      <c r="C755" s="2"/>
      <c r="D755" s="2"/>
      <c r="E755" s="89"/>
      <c r="F755" s="8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2"/>
      <c r="C756" s="2"/>
      <c r="D756" s="2"/>
      <c r="E756" s="89"/>
      <c r="F756" s="8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2"/>
      <c r="C757" s="2"/>
      <c r="D757" s="2"/>
      <c r="E757" s="89"/>
      <c r="F757" s="8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2"/>
      <c r="C758" s="2"/>
      <c r="D758" s="2"/>
      <c r="E758" s="89"/>
      <c r="F758" s="8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2"/>
      <c r="C759" s="2"/>
      <c r="D759" s="2"/>
      <c r="E759" s="89"/>
      <c r="F759" s="8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2"/>
      <c r="C760" s="2"/>
      <c r="D760" s="2"/>
      <c r="E760" s="89"/>
      <c r="F760" s="8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2"/>
      <c r="C761" s="2"/>
      <c r="D761" s="2"/>
      <c r="E761" s="89"/>
      <c r="F761" s="8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2"/>
      <c r="C762" s="2"/>
      <c r="D762" s="2"/>
      <c r="E762" s="89"/>
      <c r="F762" s="8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2"/>
      <c r="C763" s="2"/>
      <c r="D763" s="2"/>
      <c r="E763" s="89"/>
      <c r="F763" s="8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2"/>
      <c r="C764" s="2"/>
      <c r="D764" s="2"/>
      <c r="E764" s="89"/>
      <c r="F764" s="8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2"/>
      <c r="C765" s="2"/>
      <c r="D765" s="2"/>
      <c r="E765" s="89"/>
      <c r="F765" s="8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2"/>
      <c r="C766" s="2"/>
      <c r="D766" s="2"/>
      <c r="E766" s="89"/>
      <c r="F766" s="8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2"/>
      <c r="C767" s="2"/>
      <c r="D767" s="2"/>
      <c r="E767" s="89"/>
      <c r="F767" s="8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2"/>
      <c r="C768" s="2"/>
      <c r="D768" s="2"/>
      <c r="E768" s="89"/>
      <c r="F768" s="8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2"/>
      <c r="C769" s="2"/>
      <c r="D769" s="2"/>
      <c r="E769" s="89"/>
      <c r="F769" s="8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2"/>
      <c r="C770" s="2"/>
      <c r="D770" s="2"/>
      <c r="E770" s="89"/>
      <c r="F770" s="8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2"/>
      <c r="C771" s="2"/>
      <c r="D771" s="2"/>
      <c r="E771" s="89"/>
      <c r="F771" s="8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2"/>
      <c r="C772" s="2"/>
      <c r="D772" s="2"/>
      <c r="E772" s="89"/>
      <c r="F772" s="8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2"/>
      <c r="C773" s="2"/>
      <c r="D773" s="2"/>
      <c r="E773" s="89"/>
      <c r="F773" s="8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2"/>
      <c r="C774" s="2"/>
      <c r="D774" s="2"/>
      <c r="E774" s="89"/>
      <c r="F774" s="8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2"/>
      <c r="C775" s="2"/>
      <c r="D775" s="2"/>
      <c r="E775" s="89"/>
      <c r="F775" s="8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2"/>
      <c r="C776" s="2"/>
      <c r="D776" s="2"/>
      <c r="E776" s="89"/>
      <c r="F776" s="8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2"/>
      <c r="C777" s="2"/>
      <c r="D777" s="2"/>
      <c r="E777" s="89"/>
      <c r="F777" s="8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2"/>
      <c r="C778" s="2"/>
      <c r="D778" s="2"/>
      <c r="E778" s="89"/>
      <c r="F778" s="8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2"/>
      <c r="C779" s="2"/>
      <c r="D779" s="2"/>
      <c r="E779" s="89"/>
      <c r="F779" s="8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2"/>
      <c r="C780" s="2"/>
      <c r="D780" s="2"/>
      <c r="E780" s="89"/>
      <c r="F780" s="8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2"/>
      <c r="C781" s="2"/>
      <c r="D781" s="2"/>
      <c r="E781" s="89"/>
      <c r="F781" s="8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2"/>
      <c r="C782" s="2"/>
      <c r="D782" s="2"/>
      <c r="E782" s="89"/>
      <c r="F782" s="8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2"/>
      <c r="C783" s="2"/>
      <c r="D783" s="2"/>
      <c r="E783" s="89"/>
      <c r="F783" s="8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2"/>
      <c r="C784" s="2"/>
      <c r="D784" s="2"/>
      <c r="E784" s="89"/>
      <c r="F784" s="8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2"/>
      <c r="C785" s="2"/>
      <c r="D785" s="2"/>
      <c r="E785" s="89"/>
      <c r="F785" s="8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2"/>
      <c r="C786" s="2"/>
      <c r="D786" s="2"/>
      <c r="E786" s="89"/>
      <c r="F786" s="8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2"/>
      <c r="C787" s="2"/>
      <c r="D787" s="2"/>
      <c r="E787" s="89"/>
      <c r="F787" s="8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2"/>
      <c r="C788" s="2"/>
      <c r="D788" s="2"/>
      <c r="E788" s="89"/>
      <c r="F788" s="8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2"/>
      <c r="C789" s="2"/>
      <c r="D789" s="2"/>
      <c r="E789" s="89"/>
      <c r="F789" s="8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2"/>
      <c r="C790" s="2"/>
      <c r="D790" s="2"/>
      <c r="E790" s="89"/>
      <c r="F790" s="8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2"/>
      <c r="C791" s="2"/>
      <c r="D791" s="2"/>
      <c r="E791" s="89"/>
      <c r="F791" s="8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2"/>
      <c r="C792" s="2"/>
      <c r="D792" s="2"/>
      <c r="E792" s="89"/>
      <c r="F792" s="8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2"/>
      <c r="C793" s="2"/>
      <c r="D793" s="2"/>
      <c r="E793" s="89"/>
      <c r="F793" s="8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2"/>
      <c r="C794" s="2"/>
      <c r="D794" s="2"/>
      <c r="E794" s="89"/>
      <c r="F794" s="8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2"/>
      <c r="C795" s="2"/>
      <c r="D795" s="2"/>
      <c r="E795" s="89"/>
      <c r="F795" s="8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2"/>
      <c r="C796" s="2"/>
      <c r="D796" s="2"/>
      <c r="E796" s="89"/>
      <c r="F796" s="8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2"/>
      <c r="C797" s="2"/>
      <c r="D797" s="2"/>
      <c r="E797" s="89"/>
      <c r="F797" s="8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2"/>
      <c r="C798" s="2"/>
      <c r="D798" s="2"/>
      <c r="E798" s="89"/>
      <c r="F798" s="8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2"/>
      <c r="C799" s="2"/>
      <c r="D799" s="2"/>
      <c r="E799" s="89"/>
      <c r="F799" s="8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2"/>
      <c r="C800" s="2"/>
      <c r="D800" s="2"/>
      <c r="E800" s="89"/>
      <c r="F800" s="8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2"/>
      <c r="C801" s="2"/>
      <c r="D801" s="2"/>
      <c r="E801" s="89"/>
      <c r="F801" s="8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2"/>
      <c r="C802" s="2"/>
      <c r="D802" s="2"/>
      <c r="E802" s="89"/>
      <c r="F802" s="8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2"/>
      <c r="C803" s="2"/>
      <c r="D803" s="2"/>
      <c r="E803" s="89"/>
      <c r="F803" s="8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2"/>
      <c r="C804" s="2"/>
      <c r="D804" s="2"/>
      <c r="E804" s="89"/>
      <c r="F804" s="8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2"/>
      <c r="C805" s="2"/>
      <c r="D805" s="2"/>
      <c r="E805" s="89"/>
      <c r="F805" s="8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2"/>
      <c r="C806" s="2"/>
      <c r="D806" s="2"/>
      <c r="E806" s="89"/>
      <c r="F806" s="8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2"/>
      <c r="C807" s="2"/>
      <c r="D807" s="2"/>
      <c r="E807" s="89"/>
      <c r="F807" s="8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2"/>
      <c r="C808" s="2"/>
      <c r="D808" s="2"/>
      <c r="E808" s="89"/>
      <c r="F808" s="8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2"/>
      <c r="C809" s="2"/>
      <c r="D809" s="2"/>
      <c r="E809" s="89"/>
      <c r="F809" s="8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2"/>
      <c r="C810" s="2"/>
      <c r="D810" s="2"/>
      <c r="E810" s="89"/>
      <c r="F810" s="8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2"/>
      <c r="C811" s="2"/>
      <c r="D811" s="2"/>
      <c r="E811" s="89"/>
      <c r="F811" s="8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2"/>
      <c r="C812" s="2"/>
      <c r="D812" s="2"/>
      <c r="E812" s="89"/>
      <c r="F812" s="8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2"/>
      <c r="C813" s="2"/>
      <c r="D813" s="2"/>
      <c r="E813" s="89"/>
      <c r="F813" s="8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2"/>
      <c r="C814" s="2"/>
      <c r="D814" s="2"/>
      <c r="E814" s="89"/>
      <c r="F814" s="8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2"/>
      <c r="C815" s="2"/>
      <c r="D815" s="2"/>
      <c r="E815" s="89"/>
      <c r="F815" s="8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2"/>
      <c r="C816" s="2"/>
      <c r="D816" s="2"/>
      <c r="E816" s="89"/>
      <c r="F816" s="8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2"/>
      <c r="C817" s="2"/>
      <c r="D817" s="2"/>
      <c r="E817" s="89"/>
      <c r="F817" s="8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2"/>
      <c r="C818" s="2"/>
      <c r="D818" s="2"/>
      <c r="E818" s="89"/>
      <c r="F818" s="8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2"/>
      <c r="C819" s="2"/>
      <c r="D819" s="2"/>
      <c r="E819" s="89"/>
      <c r="F819" s="8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2"/>
      <c r="C820" s="2"/>
      <c r="D820" s="2"/>
      <c r="E820" s="89"/>
      <c r="F820" s="8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2"/>
      <c r="C821" s="2"/>
      <c r="D821" s="2"/>
      <c r="E821" s="89"/>
      <c r="F821" s="8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2"/>
      <c r="C822" s="2"/>
      <c r="D822" s="2"/>
      <c r="E822" s="89"/>
      <c r="F822" s="8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2"/>
      <c r="C823" s="2"/>
      <c r="D823" s="2"/>
      <c r="E823" s="89"/>
      <c r="F823" s="8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2"/>
      <c r="C824" s="2"/>
      <c r="D824" s="2"/>
      <c r="E824" s="89"/>
      <c r="F824" s="8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2"/>
      <c r="C825" s="2"/>
      <c r="D825" s="2"/>
      <c r="E825" s="89"/>
      <c r="F825" s="8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2"/>
      <c r="C826" s="2"/>
      <c r="D826" s="2"/>
      <c r="E826" s="89"/>
      <c r="F826" s="8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2"/>
      <c r="C827" s="2"/>
      <c r="D827" s="2"/>
      <c r="E827" s="89"/>
      <c r="F827" s="8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2"/>
      <c r="C828" s="2"/>
      <c r="D828" s="2"/>
      <c r="E828" s="89"/>
      <c r="F828" s="8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2"/>
      <c r="C829" s="2"/>
      <c r="D829" s="2"/>
      <c r="E829" s="89"/>
      <c r="F829" s="8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2"/>
      <c r="C830" s="2"/>
      <c r="D830" s="2"/>
      <c r="E830" s="89"/>
      <c r="F830" s="8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2"/>
      <c r="C831" s="2"/>
      <c r="D831" s="2"/>
      <c r="E831" s="89"/>
      <c r="F831" s="8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2"/>
      <c r="C832" s="2"/>
      <c r="D832" s="2"/>
      <c r="E832" s="89"/>
      <c r="F832" s="8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2"/>
      <c r="C833" s="2"/>
      <c r="D833" s="2"/>
      <c r="E833" s="89"/>
      <c r="F833" s="8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2"/>
      <c r="C834" s="2"/>
      <c r="D834" s="2"/>
      <c r="E834" s="89"/>
      <c r="F834" s="8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2"/>
      <c r="C835" s="2"/>
      <c r="D835" s="2"/>
      <c r="E835" s="89"/>
      <c r="F835" s="8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2"/>
      <c r="C836" s="2"/>
      <c r="D836" s="2"/>
      <c r="E836" s="89"/>
      <c r="F836" s="8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2"/>
      <c r="C837" s="2"/>
      <c r="D837" s="2"/>
      <c r="E837" s="89"/>
      <c r="F837" s="8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2"/>
      <c r="C838" s="2"/>
      <c r="D838" s="2"/>
      <c r="E838" s="89"/>
      <c r="F838" s="8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2"/>
      <c r="C839" s="2"/>
      <c r="D839" s="2"/>
      <c r="E839" s="89"/>
      <c r="F839" s="8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2"/>
      <c r="C840" s="2"/>
      <c r="D840" s="2"/>
      <c r="E840" s="89"/>
      <c r="F840" s="8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2"/>
      <c r="C841" s="2"/>
      <c r="D841" s="2"/>
      <c r="E841" s="89"/>
      <c r="F841" s="8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2"/>
      <c r="C842" s="2"/>
      <c r="D842" s="2"/>
      <c r="E842" s="89"/>
      <c r="F842" s="8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2"/>
      <c r="C843" s="2"/>
      <c r="D843" s="2"/>
      <c r="E843" s="89"/>
      <c r="F843" s="8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2"/>
      <c r="C844" s="2"/>
      <c r="D844" s="2"/>
      <c r="E844" s="89"/>
      <c r="F844" s="8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2"/>
      <c r="C845" s="2"/>
      <c r="D845" s="2"/>
      <c r="E845" s="89"/>
      <c r="F845" s="8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2"/>
      <c r="C846" s="2"/>
      <c r="D846" s="2"/>
      <c r="E846" s="89"/>
      <c r="F846" s="8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2"/>
      <c r="C847" s="2"/>
      <c r="D847" s="2"/>
      <c r="E847" s="89"/>
      <c r="F847" s="8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2"/>
      <c r="C848" s="2"/>
      <c r="D848" s="2"/>
      <c r="E848" s="89"/>
      <c r="F848" s="8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2"/>
      <c r="C849" s="2"/>
      <c r="D849" s="2"/>
      <c r="E849" s="89"/>
      <c r="F849" s="8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2"/>
      <c r="C850" s="2"/>
      <c r="D850" s="2"/>
      <c r="E850" s="89"/>
      <c r="F850" s="8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2"/>
      <c r="C851" s="2"/>
      <c r="D851" s="2"/>
      <c r="E851" s="89"/>
      <c r="F851" s="8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2"/>
      <c r="C852" s="2"/>
      <c r="D852" s="2"/>
      <c r="E852" s="89"/>
      <c r="F852" s="8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2"/>
      <c r="C853" s="2"/>
      <c r="D853" s="2"/>
      <c r="E853" s="89"/>
      <c r="F853" s="8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2"/>
      <c r="C854" s="2"/>
      <c r="D854" s="2"/>
      <c r="E854" s="89"/>
      <c r="F854" s="8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2"/>
      <c r="C855" s="2"/>
      <c r="D855" s="2"/>
      <c r="E855" s="89"/>
      <c r="F855" s="8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2"/>
      <c r="C856" s="2"/>
      <c r="D856" s="2"/>
      <c r="E856" s="89"/>
      <c r="F856" s="8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2"/>
      <c r="C857" s="2"/>
      <c r="D857" s="2"/>
      <c r="E857" s="89"/>
      <c r="F857" s="8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2"/>
      <c r="C858" s="2"/>
      <c r="D858" s="2"/>
      <c r="E858" s="89"/>
      <c r="F858" s="8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2"/>
      <c r="C859" s="2"/>
      <c r="D859" s="2"/>
      <c r="E859" s="89"/>
      <c r="F859" s="8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2"/>
      <c r="C860" s="2"/>
      <c r="D860" s="2"/>
      <c r="E860" s="89"/>
      <c r="F860" s="8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2"/>
      <c r="C861" s="2"/>
      <c r="D861" s="2"/>
      <c r="E861" s="89"/>
      <c r="F861" s="8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2"/>
      <c r="C862" s="2"/>
      <c r="D862" s="2"/>
      <c r="E862" s="89"/>
      <c r="F862" s="8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2"/>
      <c r="C863" s="2"/>
      <c r="D863" s="2"/>
      <c r="E863" s="89"/>
      <c r="F863" s="8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2"/>
      <c r="C864" s="2"/>
      <c r="D864" s="2"/>
      <c r="E864" s="89"/>
      <c r="F864" s="8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2"/>
      <c r="C865" s="2"/>
      <c r="D865" s="2"/>
      <c r="E865" s="89"/>
      <c r="F865" s="8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2"/>
      <c r="C866" s="2"/>
      <c r="D866" s="2"/>
      <c r="E866" s="89"/>
      <c r="F866" s="8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2"/>
      <c r="C867" s="2"/>
      <c r="D867" s="2"/>
      <c r="E867" s="89"/>
      <c r="F867" s="8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2"/>
      <c r="C868" s="2"/>
      <c r="D868" s="2"/>
      <c r="E868" s="89"/>
      <c r="F868" s="8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2"/>
      <c r="C869" s="2"/>
      <c r="D869" s="2"/>
      <c r="E869" s="89"/>
      <c r="F869" s="8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2"/>
      <c r="C870" s="2"/>
      <c r="D870" s="2"/>
      <c r="E870" s="89"/>
      <c r="F870" s="8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2"/>
      <c r="C871" s="2"/>
      <c r="D871" s="2"/>
      <c r="E871" s="89"/>
      <c r="F871" s="8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2"/>
      <c r="C872" s="2"/>
      <c r="D872" s="2"/>
      <c r="E872" s="89"/>
      <c r="F872" s="8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2"/>
      <c r="C873" s="2"/>
      <c r="D873" s="2"/>
      <c r="E873" s="89"/>
      <c r="F873" s="8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2"/>
      <c r="C874" s="2"/>
      <c r="D874" s="2"/>
      <c r="E874" s="89"/>
      <c r="F874" s="8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2"/>
      <c r="C875" s="2"/>
      <c r="D875" s="2"/>
      <c r="E875" s="89"/>
      <c r="F875" s="8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2"/>
      <c r="C876" s="2"/>
      <c r="D876" s="2"/>
      <c r="E876" s="89"/>
      <c r="F876" s="8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2"/>
      <c r="C877" s="2"/>
      <c r="D877" s="2"/>
      <c r="E877" s="89"/>
      <c r="F877" s="8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2"/>
      <c r="C878" s="2"/>
      <c r="D878" s="2"/>
      <c r="E878" s="89"/>
      <c r="F878" s="8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2"/>
      <c r="C879" s="2"/>
      <c r="D879" s="2"/>
      <c r="E879" s="89"/>
      <c r="F879" s="8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2"/>
      <c r="C880" s="2"/>
      <c r="D880" s="2"/>
      <c r="E880" s="89"/>
      <c r="F880" s="8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2"/>
      <c r="C881" s="2"/>
      <c r="D881" s="2"/>
      <c r="E881" s="89"/>
      <c r="F881" s="8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2"/>
      <c r="C882" s="2"/>
      <c r="D882" s="2"/>
      <c r="E882" s="89"/>
      <c r="F882" s="8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2"/>
      <c r="C883" s="2"/>
      <c r="D883" s="2"/>
      <c r="E883" s="89"/>
      <c r="F883" s="8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2"/>
      <c r="C884" s="2"/>
      <c r="D884" s="2"/>
      <c r="E884" s="89"/>
      <c r="F884" s="8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2"/>
      <c r="C885" s="2"/>
      <c r="D885" s="2"/>
      <c r="E885" s="89"/>
      <c r="F885" s="8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2"/>
      <c r="C886" s="2"/>
      <c r="D886" s="2"/>
      <c r="E886" s="89"/>
      <c r="F886" s="8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2"/>
      <c r="C887" s="2"/>
      <c r="D887" s="2"/>
      <c r="E887" s="89"/>
      <c r="F887" s="8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2"/>
      <c r="C888" s="2"/>
      <c r="D888" s="2"/>
      <c r="E888" s="89"/>
      <c r="F888" s="8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2"/>
      <c r="C889" s="2"/>
      <c r="D889" s="2"/>
      <c r="E889" s="89"/>
      <c r="F889" s="8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2"/>
      <c r="C890" s="2"/>
      <c r="D890" s="2"/>
      <c r="E890" s="89"/>
      <c r="F890" s="8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2"/>
      <c r="C891" s="2"/>
      <c r="D891" s="2"/>
      <c r="E891" s="89"/>
      <c r="F891" s="8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2"/>
      <c r="C892" s="2"/>
      <c r="D892" s="2"/>
      <c r="E892" s="89"/>
      <c r="F892" s="8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2"/>
      <c r="C893" s="2"/>
      <c r="D893" s="2"/>
      <c r="E893" s="89"/>
      <c r="F893" s="8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2"/>
      <c r="C894" s="2"/>
      <c r="D894" s="2"/>
      <c r="E894" s="89"/>
      <c r="F894" s="8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2"/>
      <c r="C895" s="2"/>
      <c r="D895" s="2"/>
      <c r="E895" s="89"/>
      <c r="F895" s="8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2"/>
      <c r="C896" s="2"/>
      <c r="D896" s="2"/>
      <c r="E896" s="89"/>
      <c r="F896" s="8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2"/>
      <c r="C897" s="2"/>
      <c r="D897" s="2"/>
      <c r="E897" s="89"/>
      <c r="F897" s="8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2"/>
      <c r="C898" s="2"/>
      <c r="D898" s="2"/>
      <c r="E898" s="89"/>
      <c r="F898" s="8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2"/>
      <c r="C899" s="2"/>
      <c r="D899" s="2"/>
      <c r="E899" s="89"/>
      <c r="F899" s="8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2"/>
      <c r="C900" s="2"/>
      <c r="D900" s="2"/>
      <c r="E900" s="89"/>
      <c r="F900" s="8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2"/>
      <c r="C901" s="2"/>
      <c r="D901" s="2"/>
      <c r="E901" s="89"/>
      <c r="F901" s="8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2"/>
      <c r="C902" s="2"/>
      <c r="D902" s="2"/>
      <c r="E902" s="89"/>
      <c r="F902" s="8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2"/>
      <c r="C903" s="2"/>
      <c r="D903" s="2"/>
      <c r="E903" s="89"/>
      <c r="F903" s="8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2"/>
      <c r="C904" s="2"/>
      <c r="D904" s="2"/>
      <c r="E904" s="89"/>
      <c r="F904" s="8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2"/>
      <c r="C905" s="2"/>
      <c r="D905" s="2"/>
      <c r="E905" s="89"/>
      <c r="F905" s="8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2"/>
      <c r="C906" s="2"/>
      <c r="D906" s="2"/>
      <c r="E906" s="89"/>
      <c r="F906" s="8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2"/>
      <c r="C907" s="2"/>
      <c r="D907" s="2"/>
      <c r="E907" s="89"/>
      <c r="F907" s="8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2"/>
      <c r="C908" s="2"/>
      <c r="D908" s="2"/>
      <c r="E908" s="89"/>
      <c r="F908" s="8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2"/>
      <c r="C909" s="2"/>
      <c r="D909" s="2"/>
      <c r="E909" s="89"/>
      <c r="F909" s="8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2"/>
      <c r="C910" s="2"/>
      <c r="D910" s="2"/>
      <c r="E910" s="89"/>
      <c r="F910" s="8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2"/>
      <c r="C911" s="2"/>
      <c r="D911" s="2"/>
      <c r="E911" s="89"/>
      <c r="F911" s="8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2"/>
      <c r="C912" s="2"/>
      <c r="D912" s="2"/>
      <c r="E912" s="89"/>
      <c r="F912" s="8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2"/>
      <c r="C913" s="2"/>
      <c r="D913" s="2"/>
      <c r="E913" s="89"/>
      <c r="F913" s="8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2"/>
      <c r="C914" s="2"/>
      <c r="D914" s="2"/>
      <c r="E914" s="89"/>
      <c r="F914" s="8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2"/>
      <c r="C915" s="2"/>
      <c r="D915" s="2"/>
      <c r="E915" s="89"/>
      <c r="F915" s="8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2"/>
      <c r="C916" s="2"/>
      <c r="D916" s="2"/>
      <c r="E916" s="89"/>
      <c r="F916" s="8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2"/>
      <c r="C917" s="2"/>
      <c r="D917" s="2"/>
      <c r="E917" s="89"/>
      <c r="F917" s="8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2"/>
      <c r="C918" s="2"/>
      <c r="D918" s="2"/>
      <c r="E918" s="89"/>
      <c r="F918" s="8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2"/>
      <c r="C919" s="2"/>
      <c r="D919" s="2"/>
      <c r="E919" s="89"/>
      <c r="F919" s="8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2"/>
      <c r="C920" s="2"/>
      <c r="D920" s="2"/>
      <c r="E920" s="89"/>
      <c r="F920" s="8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2"/>
      <c r="C921" s="2"/>
      <c r="D921" s="2"/>
      <c r="E921" s="89"/>
      <c r="F921" s="8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2"/>
      <c r="C922" s="2"/>
      <c r="D922" s="2"/>
      <c r="E922" s="89"/>
      <c r="F922" s="8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2"/>
      <c r="C923" s="2"/>
      <c r="D923" s="2"/>
      <c r="E923" s="89"/>
      <c r="F923" s="8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2"/>
      <c r="C924" s="2"/>
      <c r="D924" s="2"/>
      <c r="E924" s="89"/>
      <c r="F924" s="8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2"/>
      <c r="C925" s="2"/>
      <c r="D925" s="2"/>
      <c r="E925" s="89"/>
      <c r="F925" s="8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2"/>
      <c r="C926" s="2"/>
      <c r="D926" s="2"/>
      <c r="E926" s="89"/>
      <c r="F926" s="8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2"/>
      <c r="C927" s="2"/>
      <c r="D927" s="2"/>
      <c r="E927" s="89"/>
      <c r="F927" s="8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2"/>
      <c r="C928" s="2"/>
      <c r="D928" s="2"/>
      <c r="E928" s="89"/>
      <c r="F928" s="8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2"/>
      <c r="C929" s="2"/>
      <c r="D929" s="2"/>
      <c r="E929" s="89"/>
      <c r="F929" s="8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2"/>
      <c r="C930" s="2"/>
      <c r="D930" s="2"/>
      <c r="E930" s="89"/>
      <c r="F930" s="8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2"/>
      <c r="C931" s="2"/>
      <c r="D931" s="2"/>
      <c r="E931" s="89"/>
      <c r="F931" s="8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2"/>
      <c r="C932" s="2"/>
      <c r="D932" s="2"/>
      <c r="E932" s="89"/>
      <c r="F932" s="8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2"/>
      <c r="C933" s="2"/>
      <c r="D933" s="2"/>
      <c r="E933" s="89"/>
      <c r="F933" s="8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2"/>
      <c r="C934" s="2"/>
      <c r="D934" s="2"/>
      <c r="E934" s="89"/>
      <c r="F934" s="8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2"/>
      <c r="C935" s="2"/>
      <c r="D935" s="2"/>
      <c r="E935" s="89"/>
      <c r="F935" s="8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2"/>
      <c r="C936" s="2"/>
      <c r="D936" s="2"/>
      <c r="E936" s="89"/>
      <c r="F936" s="8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2"/>
      <c r="C937" s="2"/>
      <c r="D937" s="2"/>
      <c r="E937" s="89"/>
      <c r="F937" s="8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2"/>
      <c r="C938" s="2"/>
      <c r="D938" s="2"/>
      <c r="E938" s="89"/>
      <c r="F938" s="8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2"/>
      <c r="C939" s="2"/>
      <c r="D939" s="2"/>
      <c r="E939" s="89"/>
      <c r="F939" s="8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2"/>
      <c r="C940" s="2"/>
      <c r="D940" s="2"/>
      <c r="E940" s="89"/>
      <c r="F940" s="8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2"/>
      <c r="C941" s="2"/>
      <c r="D941" s="2"/>
      <c r="E941" s="89"/>
      <c r="F941" s="8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2"/>
      <c r="C942" s="2"/>
      <c r="D942" s="2"/>
      <c r="E942" s="89"/>
      <c r="F942" s="8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2"/>
      <c r="C943" s="2"/>
      <c r="D943" s="2"/>
      <c r="E943" s="89"/>
      <c r="F943" s="8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2"/>
      <c r="C944" s="2"/>
      <c r="D944" s="2"/>
      <c r="E944" s="89"/>
      <c r="F944" s="8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2"/>
      <c r="C945" s="2"/>
      <c r="D945" s="2"/>
      <c r="E945" s="89"/>
      <c r="F945" s="8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2"/>
      <c r="C946" s="2"/>
      <c r="D946" s="2"/>
      <c r="E946" s="89"/>
      <c r="F946" s="8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2"/>
      <c r="C947" s="2"/>
      <c r="D947" s="2"/>
      <c r="E947" s="89"/>
      <c r="F947" s="8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2"/>
      <c r="C948" s="2"/>
      <c r="D948" s="2"/>
      <c r="E948" s="89"/>
      <c r="F948" s="8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2"/>
      <c r="C949" s="2"/>
      <c r="D949" s="2"/>
      <c r="E949" s="89"/>
      <c r="F949" s="8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2"/>
      <c r="C950" s="2"/>
      <c r="D950" s="2"/>
      <c r="E950" s="89"/>
      <c r="F950" s="8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2"/>
      <c r="C951" s="2"/>
      <c r="D951" s="2"/>
      <c r="E951" s="89"/>
      <c r="F951" s="8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2"/>
      <c r="C952" s="2"/>
      <c r="D952" s="2"/>
      <c r="E952" s="89"/>
      <c r="F952" s="8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2"/>
      <c r="C953" s="2"/>
      <c r="D953" s="2"/>
      <c r="E953" s="89"/>
      <c r="F953" s="8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2"/>
      <c r="C954" s="2"/>
      <c r="D954" s="2"/>
      <c r="E954" s="89"/>
      <c r="F954" s="8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2"/>
      <c r="C955" s="2"/>
      <c r="D955" s="2"/>
      <c r="E955" s="89"/>
      <c r="F955" s="8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2"/>
      <c r="C956" s="2"/>
      <c r="D956" s="2"/>
      <c r="E956" s="89"/>
      <c r="F956" s="8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2"/>
      <c r="C957" s="2"/>
      <c r="D957" s="2"/>
      <c r="E957" s="89"/>
      <c r="F957" s="8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2"/>
      <c r="C958" s="2"/>
      <c r="D958" s="2"/>
      <c r="E958" s="89"/>
      <c r="F958" s="8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2"/>
      <c r="C959" s="2"/>
      <c r="D959" s="2"/>
      <c r="E959" s="89"/>
      <c r="F959" s="8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2"/>
      <c r="C960" s="2"/>
      <c r="D960" s="2"/>
      <c r="E960" s="89"/>
      <c r="F960" s="8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2"/>
      <c r="C961" s="2"/>
      <c r="D961" s="2"/>
      <c r="E961" s="89"/>
      <c r="F961" s="8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2"/>
      <c r="C962" s="2"/>
      <c r="D962" s="2"/>
      <c r="E962" s="89"/>
      <c r="F962" s="8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2"/>
      <c r="C963" s="2"/>
      <c r="D963" s="2"/>
      <c r="E963" s="89"/>
      <c r="F963" s="8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2"/>
      <c r="C964" s="2"/>
      <c r="D964" s="2"/>
      <c r="E964" s="89"/>
      <c r="F964" s="8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2"/>
      <c r="C965" s="2"/>
      <c r="D965" s="2"/>
      <c r="E965" s="89"/>
      <c r="F965" s="8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2"/>
      <c r="C966" s="2"/>
      <c r="D966" s="2"/>
      <c r="E966" s="89"/>
      <c r="F966" s="8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2"/>
      <c r="C967" s="2"/>
      <c r="D967" s="2"/>
      <c r="E967" s="89"/>
      <c r="F967" s="8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2"/>
      <c r="C968" s="2"/>
      <c r="D968" s="2"/>
      <c r="E968" s="89"/>
      <c r="F968" s="8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2"/>
      <c r="C969" s="2"/>
      <c r="D969" s="2"/>
      <c r="E969" s="89"/>
      <c r="F969" s="8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2"/>
      <c r="C970" s="2"/>
      <c r="D970" s="2"/>
      <c r="E970" s="89"/>
      <c r="F970" s="8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2"/>
      <c r="C971" s="2"/>
      <c r="D971" s="2"/>
      <c r="E971" s="89"/>
      <c r="F971" s="8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2"/>
      <c r="C972" s="2"/>
      <c r="D972" s="2"/>
      <c r="E972" s="89"/>
      <c r="F972" s="8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2"/>
      <c r="C973" s="2"/>
      <c r="D973" s="2"/>
      <c r="E973" s="89"/>
      <c r="F973" s="8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2"/>
      <c r="C974" s="2"/>
      <c r="D974" s="2"/>
      <c r="E974" s="89"/>
      <c r="F974" s="8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2"/>
      <c r="C975" s="2"/>
      <c r="D975" s="2"/>
      <c r="E975" s="89"/>
      <c r="F975" s="8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2"/>
      <c r="C976" s="2"/>
      <c r="D976" s="2"/>
      <c r="E976" s="89"/>
      <c r="F976" s="8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2"/>
      <c r="C977" s="2"/>
      <c r="D977" s="2"/>
      <c r="E977" s="89"/>
      <c r="F977" s="8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2"/>
      <c r="C978" s="2"/>
      <c r="D978" s="2"/>
      <c r="E978" s="89"/>
      <c r="F978" s="8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2"/>
      <c r="C979" s="2"/>
      <c r="D979" s="2"/>
      <c r="E979" s="89"/>
      <c r="F979" s="8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2"/>
      <c r="C980" s="2"/>
      <c r="D980" s="2"/>
      <c r="E980" s="89"/>
      <c r="F980" s="8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2"/>
      <c r="C981" s="2"/>
      <c r="D981" s="2"/>
      <c r="E981" s="89"/>
      <c r="F981" s="8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2"/>
      <c r="C982" s="2"/>
      <c r="D982" s="2"/>
      <c r="E982" s="89"/>
      <c r="F982" s="8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2"/>
      <c r="C983" s="2"/>
      <c r="D983" s="2"/>
      <c r="E983" s="89"/>
      <c r="F983" s="8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2"/>
      <c r="C984" s="2"/>
      <c r="D984" s="2"/>
      <c r="E984" s="89"/>
      <c r="F984" s="8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2"/>
      <c r="C985" s="2"/>
      <c r="D985" s="2"/>
      <c r="E985" s="89"/>
      <c r="F985" s="8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2"/>
      <c r="C986" s="2"/>
      <c r="D986" s="2"/>
      <c r="E986" s="89"/>
      <c r="F986" s="8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2"/>
      <c r="C987" s="2"/>
      <c r="D987" s="2"/>
      <c r="E987" s="89"/>
      <c r="F987" s="8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2"/>
      <c r="C988" s="2"/>
      <c r="D988" s="2"/>
      <c r="E988" s="89"/>
      <c r="F988" s="8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2"/>
      <c r="C989" s="2"/>
      <c r="D989" s="2"/>
      <c r="E989" s="89"/>
      <c r="F989" s="8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2"/>
      <c r="C990" s="2"/>
      <c r="D990" s="2"/>
      <c r="E990" s="89"/>
      <c r="F990" s="8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2"/>
      <c r="C991" s="2"/>
      <c r="D991" s="2"/>
      <c r="E991" s="89"/>
      <c r="F991" s="8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2"/>
      <c r="C992" s="2"/>
      <c r="D992" s="2"/>
      <c r="E992" s="89"/>
      <c r="F992" s="8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2"/>
      <c r="C993" s="2"/>
      <c r="D993" s="2"/>
      <c r="E993" s="89"/>
      <c r="F993" s="8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2"/>
      <c r="C994" s="2"/>
      <c r="D994" s="2"/>
      <c r="E994" s="89"/>
      <c r="F994" s="8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2"/>
      <c r="C995" s="2"/>
      <c r="D995" s="2"/>
      <c r="E995" s="89"/>
      <c r="F995" s="8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2"/>
      <c r="C996" s="2"/>
      <c r="D996" s="2"/>
      <c r="E996" s="89"/>
      <c r="F996" s="8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2"/>
      <c r="C997" s="2"/>
      <c r="D997" s="2"/>
      <c r="E997" s="89"/>
      <c r="F997" s="8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2"/>
      <c r="C998" s="2"/>
      <c r="D998" s="2"/>
      <c r="E998" s="89"/>
      <c r="F998" s="8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2"/>
      <c r="C999" s="2"/>
      <c r="D999" s="2"/>
      <c r="E999" s="89"/>
      <c r="F999" s="8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2"/>
      <c r="C1000" s="2"/>
      <c r="D1000" s="2"/>
      <c r="E1000" s="89"/>
      <c r="F1000" s="89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2"/>
      <c r="C1001" s="2"/>
      <c r="D1001" s="2"/>
      <c r="E1001" s="89"/>
      <c r="F1001" s="89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">
      <c r="A1002" s="1"/>
      <c r="B1002" s="2"/>
      <c r="C1002" s="2"/>
      <c r="D1002" s="2"/>
      <c r="E1002" s="89"/>
      <c r="F1002" s="89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">
      <c r="A1003" s="1"/>
      <c r="B1003" s="2"/>
      <c r="C1003" s="2"/>
      <c r="D1003" s="2"/>
      <c r="E1003" s="89"/>
      <c r="F1003" s="89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 x14ac:dyDescent="0.2">
      <c r="A1004" s="1"/>
      <c r="B1004" s="2"/>
      <c r="C1004" s="2"/>
      <c r="D1004" s="2"/>
      <c r="E1004" s="89"/>
      <c r="F1004" s="89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 x14ac:dyDescent="0.2">
      <c r="A1005" s="1"/>
      <c r="B1005" s="2"/>
      <c r="C1005" s="2"/>
      <c r="D1005" s="2"/>
      <c r="E1005" s="89"/>
      <c r="F1005" s="89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 x14ac:dyDescent="0.2">
      <c r="A1006" s="1"/>
      <c r="B1006" s="2"/>
      <c r="C1006" s="2"/>
      <c r="D1006" s="2"/>
      <c r="E1006" s="89"/>
      <c r="F1006" s="89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 x14ac:dyDescent="0.2">
      <c r="A1007" s="1"/>
      <c r="B1007" s="2"/>
      <c r="C1007" s="2"/>
      <c r="D1007" s="2"/>
      <c r="E1007" s="89"/>
      <c r="F1007" s="89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 x14ac:dyDescent="0.2">
      <c r="A1008" s="1"/>
      <c r="B1008" s="2"/>
      <c r="C1008" s="2"/>
      <c r="D1008" s="2"/>
      <c r="E1008" s="89"/>
      <c r="F1008" s="89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47">
    <mergeCell ref="A130:H130"/>
    <mergeCell ref="A131:H131"/>
    <mergeCell ref="A132:H132"/>
    <mergeCell ref="B124:C124"/>
    <mergeCell ref="B126:C126"/>
    <mergeCell ref="D126:E126"/>
    <mergeCell ref="F126:H126"/>
    <mergeCell ref="A128:G128"/>
    <mergeCell ref="A95:F95"/>
    <mergeCell ref="A113:D113"/>
    <mergeCell ref="A114:D114"/>
    <mergeCell ref="B116:C116"/>
    <mergeCell ref="D119:E119"/>
    <mergeCell ref="F119:H119"/>
    <mergeCell ref="B117:C117"/>
    <mergeCell ref="D117:E117"/>
    <mergeCell ref="F117:H117"/>
    <mergeCell ref="B118:C118"/>
    <mergeCell ref="D118:E118"/>
    <mergeCell ref="F118:H118"/>
    <mergeCell ref="B119:C119"/>
    <mergeCell ref="D124:E124"/>
    <mergeCell ref="F124:H124"/>
    <mergeCell ref="A125:E125"/>
    <mergeCell ref="F125:H125"/>
    <mergeCell ref="A1:F1"/>
    <mergeCell ref="A2:F2"/>
    <mergeCell ref="A4:F4"/>
    <mergeCell ref="A39:E39"/>
    <mergeCell ref="A40:E40"/>
    <mergeCell ref="A47:E47"/>
    <mergeCell ref="A48:E48"/>
    <mergeCell ref="D116:E116"/>
    <mergeCell ref="F116:H116"/>
    <mergeCell ref="A74:F74"/>
    <mergeCell ref="A75:F75"/>
    <mergeCell ref="A94:F94"/>
    <mergeCell ref="B122:C122"/>
    <mergeCell ref="F122:H122"/>
    <mergeCell ref="D122:E122"/>
    <mergeCell ref="A123:E123"/>
    <mergeCell ref="F123:H123"/>
    <mergeCell ref="B120:C120"/>
    <mergeCell ref="D120:E120"/>
    <mergeCell ref="F120:H120"/>
    <mergeCell ref="A121:E121"/>
    <mergeCell ref="F121:H121"/>
  </mergeCells>
  <printOptions horizontalCentered="1"/>
  <pageMargins left="0.39305555555555599" right="0.39305555555555599" top="0.78680555555555598" bottom="0.78680555555555598" header="0" footer="0"/>
  <pageSetup paperSize="9" orientation="portrait"/>
  <rowBreaks count="1" manualBreakCount="1">
    <brk id="7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Z1000"/>
  <sheetViews>
    <sheetView showGridLines="0" workbookViewId="0">
      <selection sqref="A1:P1"/>
    </sheetView>
  </sheetViews>
  <sheetFormatPr defaultColWidth="12.625" defaultRowHeight="15" customHeight="1" x14ac:dyDescent="0.2"/>
  <cols>
    <col min="1" max="1" width="22.875" customWidth="1"/>
    <col min="2" max="2" width="17.5" customWidth="1"/>
    <col min="3" max="3" width="10.5" customWidth="1"/>
    <col min="4" max="4" width="10.75" customWidth="1"/>
    <col min="5" max="6" width="11.25" customWidth="1"/>
    <col min="7" max="7" width="11.625" customWidth="1"/>
    <col min="8" max="8" width="11.875" customWidth="1"/>
    <col min="9" max="9" width="5.125" customWidth="1"/>
    <col min="10" max="10" width="9.875" customWidth="1"/>
    <col min="11" max="11" width="2.625" customWidth="1"/>
    <col min="12" max="12" width="5.75" customWidth="1"/>
    <col min="13" max="13" width="2.125" customWidth="1"/>
    <col min="14" max="14" width="9.75" customWidth="1"/>
    <col min="15" max="15" width="8.75" customWidth="1"/>
    <col min="16" max="16" width="8.375" customWidth="1"/>
    <col min="17" max="17" width="10.25" customWidth="1"/>
    <col min="18" max="19" width="8" customWidth="1"/>
    <col min="20" max="26" width="7.875" customWidth="1"/>
  </cols>
  <sheetData>
    <row r="1" spans="1:26" ht="12.75" customHeight="1" x14ac:dyDescent="0.2">
      <c r="A1" s="336" t="s">
        <v>236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4.75" customHeight="1" x14ac:dyDescent="0.2">
      <c r="A2" s="110" t="s">
        <v>21</v>
      </c>
      <c r="B2" s="110" t="s">
        <v>237</v>
      </c>
      <c r="C2" s="13" t="s">
        <v>238</v>
      </c>
      <c r="D2" s="13" t="s">
        <v>239</v>
      </c>
      <c r="E2" s="13" t="s">
        <v>240</v>
      </c>
      <c r="F2" s="13" t="s">
        <v>241</v>
      </c>
      <c r="G2" s="13" t="s">
        <v>242</v>
      </c>
      <c r="H2" s="13" t="s">
        <v>243</v>
      </c>
      <c r="I2" s="338" t="s">
        <v>244</v>
      </c>
      <c r="J2" s="292"/>
      <c r="K2" s="292"/>
      <c r="L2" s="292"/>
      <c r="M2" s="292"/>
      <c r="N2" s="292"/>
      <c r="O2" s="292"/>
      <c r="P2" s="28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39" t="s">
        <v>25</v>
      </c>
      <c r="B3" s="7" t="str">
        <f>'Aba Carregamento'!B25</f>
        <v>pisos acarpetados</v>
      </c>
      <c r="C3" s="111">
        <f>'Aba Carregamento'!D25</f>
        <v>0</v>
      </c>
      <c r="D3" s="112">
        <f>'Aba Carregamento'!E25</f>
        <v>1033.8399999999999</v>
      </c>
      <c r="E3" s="110" t="e">
        <f t="shared" ref="E3:E6" si="0">D3/C3</f>
        <v>#DIV/0!</v>
      </c>
      <c r="F3" s="113" t="e">
        <f t="shared" ref="F3:F6" si="1">TRUNC(E3,0)</f>
        <v>#DIV/0!</v>
      </c>
      <c r="G3" s="110" t="e">
        <f t="shared" ref="G3:G19" si="2">E3-F3</f>
        <v>#DIV/0!</v>
      </c>
      <c r="H3" s="110" t="e">
        <f t="shared" ref="H3:H19" si="3">G3*$C$23*60</f>
        <v>#DIV/0!</v>
      </c>
      <c r="I3" s="114" t="e">
        <f t="shared" ref="I3:I19" si="4">F3</f>
        <v>#DIV/0!</v>
      </c>
      <c r="J3" s="13" t="s">
        <v>245</v>
      </c>
      <c r="K3" s="115">
        <f t="shared" ref="K3:K19" si="5">$C$23</f>
        <v>0</v>
      </c>
      <c r="L3" s="13" t="s">
        <v>246</v>
      </c>
      <c r="M3" s="114">
        <v>1</v>
      </c>
      <c r="N3" s="13" t="s">
        <v>247</v>
      </c>
      <c r="O3" s="114" t="e">
        <f t="shared" ref="O3:O19" si="6">H3</f>
        <v>#DIV/0!</v>
      </c>
      <c r="P3" s="13" t="s">
        <v>248</v>
      </c>
      <c r="Q3" s="116"/>
      <c r="R3" s="117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04"/>
      <c r="B4" s="7" t="str">
        <f>'Aba Carregamento'!B26</f>
        <v>pisos frios</v>
      </c>
      <c r="C4" s="111">
        <f>'Aba Carregamento'!D26</f>
        <v>0</v>
      </c>
      <c r="D4" s="112">
        <f>'Aba Carregamento'!E26</f>
        <v>9507.89</v>
      </c>
      <c r="E4" s="110" t="e">
        <f t="shared" si="0"/>
        <v>#DIV/0!</v>
      </c>
      <c r="F4" s="113" t="e">
        <f t="shared" si="1"/>
        <v>#DIV/0!</v>
      </c>
      <c r="G4" s="110" t="e">
        <f t="shared" si="2"/>
        <v>#DIV/0!</v>
      </c>
      <c r="H4" s="110" t="e">
        <f t="shared" si="3"/>
        <v>#DIV/0!</v>
      </c>
      <c r="I4" s="114" t="e">
        <f t="shared" si="4"/>
        <v>#DIV/0!</v>
      </c>
      <c r="J4" s="13" t="s">
        <v>245</v>
      </c>
      <c r="K4" s="115">
        <f t="shared" si="5"/>
        <v>0</v>
      </c>
      <c r="L4" s="13" t="s">
        <v>246</v>
      </c>
      <c r="M4" s="114">
        <v>1</v>
      </c>
      <c r="N4" s="13" t="s">
        <v>247</v>
      </c>
      <c r="O4" s="114" t="e">
        <f t="shared" si="6"/>
        <v>#DIV/0!</v>
      </c>
      <c r="P4" s="13" t="s">
        <v>248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04"/>
      <c r="B5" s="7" t="str">
        <f>'Aba Carregamento'!B27</f>
        <v>laboratórios</v>
      </c>
      <c r="C5" s="111">
        <f>'Aba Carregamento'!D27</f>
        <v>0</v>
      </c>
      <c r="D5" s="112">
        <f>'Aba Carregamento'!E27</f>
        <v>2609.1799999999998</v>
      </c>
      <c r="E5" s="110" t="e">
        <f t="shared" si="0"/>
        <v>#DIV/0!</v>
      </c>
      <c r="F5" s="113" t="e">
        <f t="shared" si="1"/>
        <v>#DIV/0!</v>
      </c>
      <c r="G5" s="110" t="e">
        <f t="shared" si="2"/>
        <v>#DIV/0!</v>
      </c>
      <c r="H5" s="110" t="e">
        <f t="shared" si="3"/>
        <v>#DIV/0!</v>
      </c>
      <c r="I5" s="114" t="e">
        <f t="shared" si="4"/>
        <v>#DIV/0!</v>
      </c>
      <c r="J5" s="13" t="s">
        <v>245</v>
      </c>
      <c r="K5" s="115">
        <f t="shared" si="5"/>
        <v>0</v>
      </c>
      <c r="L5" s="13" t="s">
        <v>246</v>
      </c>
      <c r="M5" s="114">
        <v>1</v>
      </c>
      <c r="N5" s="13" t="s">
        <v>247</v>
      </c>
      <c r="O5" s="114" t="e">
        <f t="shared" si="6"/>
        <v>#DIV/0!</v>
      </c>
      <c r="P5" s="13" t="s">
        <v>248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304"/>
      <c r="B6" s="7" t="str">
        <f>'Aba Carregamento'!B28</f>
        <v>pisos vinílicos</v>
      </c>
      <c r="C6" s="111">
        <f>'Aba Carregamento'!D28</f>
        <v>0</v>
      </c>
      <c r="D6" s="112">
        <f>'Aba Carregamento'!E28</f>
        <v>4812.8</v>
      </c>
      <c r="E6" s="110" t="e">
        <f t="shared" si="0"/>
        <v>#DIV/0!</v>
      </c>
      <c r="F6" s="113" t="e">
        <f t="shared" si="1"/>
        <v>#DIV/0!</v>
      </c>
      <c r="G6" s="110" t="e">
        <f t="shared" si="2"/>
        <v>#DIV/0!</v>
      </c>
      <c r="H6" s="110" t="e">
        <f t="shared" si="3"/>
        <v>#DIV/0!</v>
      </c>
      <c r="I6" s="114" t="e">
        <f t="shared" si="4"/>
        <v>#DIV/0!</v>
      </c>
      <c r="J6" s="13" t="s">
        <v>245</v>
      </c>
      <c r="K6" s="115">
        <f t="shared" si="5"/>
        <v>0</v>
      </c>
      <c r="L6" s="13" t="s">
        <v>246</v>
      </c>
      <c r="M6" s="114">
        <v>1</v>
      </c>
      <c r="N6" s="13" t="s">
        <v>247</v>
      </c>
      <c r="O6" s="114" t="e">
        <f t="shared" si="6"/>
        <v>#DIV/0!</v>
      </c>
      <c r="P6" s="13" t="s">
        <v>248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04"/>
      <c r="B7" s="7" t="str">
        <f>'Aba Carregamento'!B29</f>
        <v>banheiros</v>
      </c>
      <c r="C7" s="111">
        <f>'Aba Carregamento'!D29</f>
        <v>0</v>
      </c>
      <c r="D7" s="112">
        <f>'Aba Carregamento'!E29</f>
        <v>0</v>
      </c>
      <c r="E7" s="113">
        <f t="shared" ref="E7:F7" si="7">TRUNC(D7,0)</f>
        <v>0</v>
      </c>
      <c r="F7" s="113">
        <f t="shared" si="7"/>
        <v>0</v>
      </c>
      <c r="G7" s="110">
        <f t="shared" si="2"/>
        <v>0</v>
      </c>
      <c r="H7" s="110">
        <f t="shared" si="3"/>
        <v>0</v>
      </c>
      <c r="I7" s="114">
        <f t="shared" si="4"/>
        <v>0</v>
      </c>
      <c r="J7" s="13" t="s">
        <v>245</v>
      </c>
      <c r="K7" s="115">
        <f t="shared" si="5"/>
        <v>0</v>
      </c>
      <c r="L7" s="13" t="s">
        <v>246</v>
      </c>
      <c r="M7" s="114">
        <v>1</v>
      </c>
      <c r="N7" s="13" t="s">
        <v>247</v>
      </c>
      <c r="O7" s="114">
        <f t="shared" si="6"/>
        <v>0</v>
      </c>
      <c r="P7" s="13" t="s">
        <v>248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307"/>
      <c r="B8" s="7" t="str">
        <f>'Aba Carregamento'!B30</f>
        <v>áreas com espaços livres - saguão, hall e salão</v>
      </c>
      <c r="C8" s="111">
        <f>'Aba Carregamento'!D30</f>
        <v>0</v>
      </c>
      <c r="D8" s="112">
        <f>'Aba Carregamento'!E30</f>
        <v>909.25</v>
      </c>
      <c r="E8" s="110" t="e">
        <f t="shared" ref="E8:E14" si="8">D8/C8</f>
        <v>#DIV/0!</v>
      </c>
      <c r="F8" s="113" t="e">
        <f t="shared" ref="F8:F19" si="9">TRUNC(E8,0)</f>
        <v>#DIV/0!</v>
      </c>
      <c r="G8" s="110" t="e">
        <f t="shared" si="2"/>
        <v>#DIV/0!</v>
      </c>
      <c r="H8" s="110" t="e">
        <f t="shared" si="3"/>
        <v>#DIV/0!</v>
      </c>
      <c r="I8" s="114" t="e">
        <f t="shared" si="4"/>
        <v>#DIV/0!</v>
      </c>
      <c r="J8" s="13" t="s">
        <v>245</v>
      </c>
      <c r="K8" s="115">
        <f t="shared" si="5"/>
        <v>0</v>
      </c>
      <c r="L8" s="13" t="s">
        <v>246</v>
      </c>
      <c r="M8" s="114">
        <v>1</v>
      </c>
      <c r="N8" s="13" t="s">
        <v>247</v>
      </c>
      <c r="O8" s="114" t="e">
        <f t="shared" si="6"/>
        <v>#DIV/0!</v>
      </c>
      <c r="P8" s="13" t="s">
        <v>248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339" t="s">
        <v>32</v>
      </c>
      <c r="B9" s="7" t="str">
        <f>'Aba Carregamento'!B31</f>
        <v>pisos pavimentados adjacentes/contíguos às edificações</v>
      </c>
      <c r="C9" s="111">
        <f>'Aba Carregamento'!D31</f>
        <v>0</v>
      </c>
      <c r="D9" s="112">
        <f>'Aba Carregamento'!E31</f>
        <v>741.56</v>
      </c>
      <c r="E9" s="110" t="e">
        <f t="shared" si="8"/>
        <v>#DIV/0!</v>
      </c>
      <c r="F9" s="113" t="e">
        <f t="shared" si="9"/>
        <v>#DIV/0!</v>
      </c>
      <c r="G9" s="110" t="e">
        <f t="shared" si="2"/>
        <v>#DIV/0!</v>
      </c>
      <c r="H9" s="110" t="e">
        <f t="shared" si="3"/>
        <v>#DIV/0!</v>
      </c>
      <c r="I9" s="114" t="e">
        <f t="shared" si="4"/>
        <v>#DIV/0!</v>
      </c>
      <c r="J9" s="13" t="s">
        <v>245</v>
      </c>
      <c r="K9" s="115">
        <f t="shared" si="5"/>
        <v>0</v>
      </c>
      <c r="L9" s="13" t="s">
        <v>246</v>
      </c>
      <c r="M9" s="114">
        <v>1</v>
      </c>
      <c r="N9" s="13" t="s">
        <v>247</v>
      </c>
      <c r="O9" s="114" t="e">
        <f t="shared" si="6"/>
        <v>#DIV/0!</v>
      </c>
      <c r="P9" s="13" t="s">
        <v>248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304"/>
      <c r="B10" s="7" t="str">
        <f>'Aba Carregamento'!B32</f>
        <v>varrição de passeios e arruamentos</v>
      </c>
      <c r="C10" s="111">
        <f>'Aba Carregamento'!D32</f>
        <v>0</v>
      </c>
      <c r="D10" s="112">
        <f>'Aba Carregamento'!E32</f>
        <v>0</v>
      </c>
      <c r="E10" s="110" t="e">
        <f t="shared" si="8"/>
        <v>#DIV/0!</v>
      </c>
      <c r="F10" s="113" t="e">
        <f t="shared" si="9"/>
        <v>#DIV/0!</v>
      </c>
      <c r="G10" s="110" t="e">
        <f t="shared" si="2"/>
        <v>#DIV/0!</v>
      </c>
      <c r="H10" s="110" t="e">
        <f t="shared" si="3"/>
        <v>#DIV/0!</v>
      </c>
      <c r="I10" s="114" t="e">
        <f t="shared" si="4"/>
        <v>#DIV/0!</v>
      </c>
      <c r="J10" s="13" t="s">
        <v>245</v>
      </c>
      <c r="K10" s="115">
        <f t="shared" si="5"/>
        <v>0</v>
      </c>
      <c r="L10" s="13" t="s">
        <v>246</v>
      </c>
      <c r="M10" s="114">
        <v>1</v>
      </c>
      <c r="N10" s="13" t="s">
        <v>247</v>
      </c>
      <c r="O10" s="114" t="e">
        <f t="shared" si="6"/>
        <v>#DIV/0!</v>
      </c>
      <c r="P10" s="13" t="s">
        <v>248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04"/>
      <c r="B11" s="7" t="str">
        <f>'Aba Carregamento'!B33</f>
        <v>pátios e áreas verdes com alta frequência</v>
      </c>
      <c r="C11" s="111">
        <f>'Aba Carregamento'!D33</f>
        <v>0</v>
      </c>
      <c r="D11" s="112">
        <f>'Aba Carregamento'!E33</f>
        <v>0</v>
      </c>
      <c r="E11" s="110" t="e">
        <f t="shared" si="8"/>
        <v>#DIV/0!</v>
      </c>
      <c r="F11" s="113" t="e">
        <f t="shared" si="9"/>
        <v>#DIV/0!</v>
      </c>
      <c r="G11" s="110" t="e">
        <f t="shared" si="2"/>
        <v>#DIV/0!</v>
      </c>
      <c r="H11" s="110" t="e">
        <f t="shared" si="3"/>
        <v>#DIV/0!</v>
      </c>
      <c r="I11" s="114" t="e">
        <f t="shared" si="4"/>
        <v>#DIV/0!</v>
      </c>
      <c r="J11" s="13" t="s">
        <v>245</v>
      </c>
      <c r="K11" s="115">
        <f t="shared" si="5"/>
        <v>0</v>
      </c>
      <c r="L11" s="13" t="s">
        <v>246</v>
      </c>
      <c r="M11" s="114">
        <v>1</v>
      </c>
      <c r="N11" s="13" t="s">
        <v>247</v>
      </c>
      <c r="O11" s="114" t="e">
        <f t="shared" si="6"/>
        <v>#DIV/0!</v>
      </c>
      <c r="P11" s="13" t="s">
        <v>248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304"/>
      <c r="B12" s="7" t="str">
        <f>'Aba Carregamento'!B34</f>
        <v>pátios e áreas verdes com média frequência</v>
      </c>
      <c r="C12" s="111">
        <f>'Aba Carregamento'!D34</f>
        <v>0</v>
      </c>
      <c r="D12" s="112">
        <f>'Aba Carregamento'!E34</f>
        <v>0</v>
      </c>
      <c r="E12" s="110" t="e">
        <f t="shared" si="8"/>
        <v>#DIV/0!</v>
      </c>
      <c r="F12" s="113" t="e">
        <f t="shared" si="9"/>
        <v>#DIV/0!</v>
      </c>
      <c r="G12" s="110" t="e">
        <f t="shared" si="2"/>
        <v>#DIV/0!</v>
      </c>
      <c r="H12" s="110" t="e">
        <f t="shared" si="3"/>
        <v>#DIV/0!</v>
      </c>
      <c r="I12" s="114" t="e">
        <f t="shared" si="4"/>
        <v>#DIV/0!</v>
      </c>
      <c r="J12" s="13" t="s">
        <v>245</v>
      </c>
      <c r="K12" s="115">
        <f t="shared" si="5"/>
        <v>0</v>
      </c>
      <c r="L12" s="13" t="s">
        <v>246</v>
      </c>
      <c r="M12" s="114">
        <v>1</v>
      </c>
      <c r="N12" s="13" t="s">
        <v>247</v>
      </c>
      <c r="O12" s="114" t="e">
        <f t="shared" si="6"/>
        <v>#DIV/0!</v>
      </c>
      <c r="P12" s="13" t="s">
        <v>248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04"/>
      <c r="B13" s="7" t="str">
        <f>'Aba Carregamento'!B35</f>
        <v>pátios e áreas verdes com baixa frequência</v>
      </c>
      <c r="C13" s="111">
        <f>'Aba Carregamento'!D35</f>
        <v>0</v>
      </c>
      <c r="D13" s="112">
        <f>'Aba Carregamento'!E35</f>
        <v>494.55</v>
      </c>
      <c r="E13" s="110" t="e">
        <f t="shared" si="8"/>
        <v>#DIV/0!</v>
      </c>
      <c r="F13" s="113" t="e">
        <f t="shared" si="9"/>
        <v>#DIV/0!</v>
      </c>
      <c r="G13" s="110" t="e">
        <f t="shared" si="2"/>
        <v>#DIV/0!</v>
      </c>
      <c r="H13" s="110" t="e">
        <f t="shared" si="3"/>
        <v>#DIV/0!</v>
      </c>
      <c r="I13" s="114" t="e">
        <f t="shared" si="4"/>
        <v>#DIV/0!</v>
      </c>
      <c r="J13" s="13" t="s">
        <v>245</v>
      </c>
      <c r="K13" s="115">
        <f t="shared" si="5"/>
        <v>0</v>
      </c>
      <c r="L13" s="13" t="s">
        <v>246</v>
      </c>
      <c r="M13" s="114">
        <v>1</v>
      </c>
      <c r="N13" s="13" t="s">
        <v>247</v>
      </c>
      <c r="O13" s="114" t="e">
        <f t="shared" si="6"/>
        <v>#DIV/0!</v>
      </c>
      <c r="P13" s="13" t="s">
        <v>248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07"/>
      <c r="B14" s="7" t="str">
        <f>'Aba Carregamento'!B36</f>
        <v>coleta de detritos em pátios e áreas verdes com frequência diária</v>
      </c>
      <c r="C14" s="111">
        <f>'Aba Carregamento'!D36</f>
        <v>0</v>
      </c>
      <c r="D14" s="112">
        <f>'Aba Carregamento'!E36</f>
        <v>0</v>
      </c>
      <c r="E14" s="110" t="e">
        <f t="shared" si="8"/>
        <v>#DIV/0!</v>
      </c>
      <c r="F14" s="113" t="e">
        <f t="shared" si="9"/>
        <v>#DIV/0!</v>
      </c>
      <c r="G14" s="110" t="e">
        <f t="shared" si="2"/>
        <v>#DIV/0!</v>
      </c>
      <c r="H14" s="110" t="e">
        <f t="shared" si="3"/>
        <v>#DIV/0!</v>
      </c>
      <c r="I14" s="114" t="e">
        <f t="shared" si="4"/>
        <v>#DIV/0!</v>
      </c>
      <c r="J14" s="13" t="s">
        <v>245</v>
      </c>
      <c r="K14" s="115">
        <f t="shared" si="5"/>
        <v>0</v>
      </c>
      <c r="L14" s="13" t="s">
        <v>246</v>
      </c>
      <c r="M14" s="114">
        <v>1</v>
      </c>
      <c r="N14" s="13" t="s">
        <v>247</v>
      </c>
      <c r="O14" s="114" t="e">
        <f t="shared" si="6"/>
        <v>#DIV/0!</v>
      </c>
      <c r="P14" s="13" t="s">
        <v>248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customHeight="1" x14ac:dyDescent="0.2">
      <c r="A15" s="340" t="s">
        <v>39</v>
      </c>
      <c r="B15" s="7" t="str">
        <f>'Aba Carregamento'!B37</f>
        <v>face externa com exposição a situação de risco</v>
      </c>
      <c r="C15" s="111">
        <f>'Aba Carregamento'!D37</f>
        <v>0</v>
      </c>
      <c r="D15" s="112">
        <f>'Aba Carregamento'!E37</f>
        <v>1163.3399999999999</v>
      </c>
      <c r="E15" s="110" t="e">
        <f t="shared" ref="E15:E17" si="10">(D15/C15)*(16/188.76)</f>
        <v>#DIV/0!</v>
      </c>
      <c r="F15" s="113" t="e">
        <f t="shared" si="9"/>
        <v>#DIV/0!</v>
      </c>
      <c r="G15" s="110" t="e">
        <f t="shared" si="2"/>
        <v>#DIV/0!</v>
      </c>
      <c r="H15" s="110" t="e">
        <f t="shared" si="3"/>
        <v>#DIV/0!</v>
      </c>
      <c r="I15" s="114" t="e">
        <f t="shared" si="4"/>
        <v>#DIV/0!</v>
      </c>
      <c r="J15" s="13" t="s">
        <v>245</v>
      </c>
      <c r="K15" s="115">
        <f t="shared" si="5"/>
        <v>0</v>
      </c>
      <c r="L15" s="13" t="s">
        <v>246</v>
      </c>
      <c r="M15" s="114">
        <v>1</v>
      </c>
      <c r="N15" s="13" t="s">
        <v>247</v>
      </c>
      <c r="O15" s="114" t="e">
        <f t="shared" si="6"/>
        <v>#DIV/0!</v>
      </c>
      <c r="P15" s="13" t="s">
        <v>248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304"/>
      <c r="B16" s="7" t="str">
        <f>'Aba Carregamento'!B38</f>
        <v>face externa sem exposição a situação de risco</v>
      </c>
      <c r="C16" s="111">
        <f>'Aba Carregamento'!D38</f>
        <v>0</v>
      </c>
      <c r="D16" s="112">
        <f>'Aba Carregamento'!E38</f>
        <v>760.32</v>
      </c>
      <c r="E16" s="110" t="e">
        <f t="shared" si="10"/>
        <v>#DIV/0!</v>
      </c>
      <c r="F16" s="113" t="e">
        <f t="shared" si="9"/>
        <v>#DIV/0!</v>
      </c>
      <c r="G16" s="110" t="e">
        <f t="shared" si="2"/>
        <v>#DIV/0!</v>
      </c>
      <c r="H16" s="110" t="e">
        <f t="shared" si="3"/>
        <v>#DIV/0!</v>
      </c>
      <c r="I16" s="114" t="e">
        <f t="shared" si="4"/>
        <v>#DIV/0!</v>
      </c>
      <c r="J16" s="13" t="s">
        <v>245</v>
      </c>
      <c r="K16" s="115">
        <f t="shared" si="5"/>
        <v>0</v>
      </c>
      <c r="L16" s="13" t="s">
        <v>246</v>
      </c>
      <c r="M16" s="114">
        <v>1</v>
      </c>
      <c r="N16" s="13" t="s">
        <v>247</v>
      </c>
      <c r="O16" s="114" t="e">
        <f t="shared" si="6"/>
        <v>#DIV/0!</v>
      </c>
      <c r="P16" s="13" t="s">
        <v>248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307"/>
      <c r="B17" s="7" t="str">
        <f>'Aba Carregamento'!B39</f>
        <v>face interna</v>
      </c>
      <c r="C17" s="111">
        <f>'Aba Carregamento'!D39</f>
        <v>0</v>
      </c>
      <c r="D17" s="112">
        <f>'Aba Carregamento'!E39</f>
        <v>1863.68</v>
      </c>
      <c r="E17" s="110" t="e">
        <f t="shared" si="10"/>
        <v>#DIV/0!</v>
      </c>
      <c r="F17" s="113" t="e">
        <f t="shared" si="9"/>
        <v>#DIV/0!</v>
      </c>
      <c r="G17" s="110" t="e">
        <f t="shared" si="2"/>
        <v>#DIV/0!</v>
      </c>
      <c r="H17" s="110" t="e">
        <f t="shared" si="3"/>
        <v>#DIV/0!</v>
      </c>
      <c r="I17" s="114" t="e">
        <f t="shared" si="4"/>
        <v>#DIV/0!</v>
      </c>
      <c r="J17" s="13" t="s">
        <v>245</v>
      </c>
      <c r="K17" s="115">
        <f t="shared" si="5"/>
        <v>0</v>
      </c>
      <c r="L17" s="13" t="s">
        <v>246</v>
      </c>
      <c r="M17" s="114">
        <v>1</v>
      </c>
      <c r="N17" s="13" t="s">
        <v>247</v>
      </c>
      <c r="O17" s="114" t="e">
        <f t="shared" si="6"/>
        <v>#DIV/0!</v>
      </c>
      <c r="P17" s="13" t="s">
        <v>248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18" t="s">
        <v>43</v>
      </c>
      <c r="B18" s="7" t="str">
        <f>'Aba Carregamento'!B40</f>
        <v>fachadas envidraçadas</v>
      </c>
      <c r="C18" s="111">
        <f>'Aba Carregamento'!D40</f>
        <v>0</v>
      </c>
      <c r="D18" s="112">
        <f>'Aba Carregamento'!E40</f>
        <v>0</v>
      </c>
      <c r="E18" s="110" t="e">
        <f>(D18/C18)*(8/1132.6)</f>
        <v>#DIV/0!</v>
      </c>
      <c r="F18" s="113" t="e">
        <f t="shared" si="9"/>
        <v>#DIV/0!</v>
      </c>
      <c r="G18" s="110" t="e">
        <f t="shared" si="2"/>
        <v>#DIV/0!</v>
      </c>
      <c r="H18" s="110" t="e">
        <f t="shared" si="3"/>
        <v>#DIV/0!</v>
      </c>
      <c r="I18" s="114" t="e">
        <f t="shared" si="4"/>
        <v>#DIV/0!</v>
      </c>
      <c r="J18" s="13" t="s">
        <v>245</v>
      </c>
      <c r="K18" s="115">
        <f t="shared" si="5"/>
        <v>0</v>
      </c>
      <c r="L18" s="13" t="s">
        <v>246</v>
      </c>
      <c r="M18" s="114">
        <v>1</v>
      </c>
      <c r="N18" s="13" t="s">
        <v>247</v>
      </c>
      <c r="O18" s="114" t="e">
        <f t="shared" si="6"/>
        <v>#DIV/0!</v>
      </c>
      <c r="P18" s="13" t="s">
        <v>248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18" t="s">
        <v>45</v>
      </c>
      <c r="B19" s="7" t="str">
        <f>'Aba Carregamento'!B41</f>
        <v>áreas hospitalares e assemelhadas</v>
      </c>
      <c r="C19" s="111">
        <f>'Aba Carregamento'!D41</f>
        <v>0</v>
      </c>
      <c r="D19" s="112">
        <f>'Aba Carregamento'!E41</f>
        <v>0</v>
      </c>
      <c r="E19" s="110">
        <f>0</f>
        <v>0</v>
      </c>
      <c r="F19" s="113">
        <f t="shared" si="9"/>
        <v>0</v>
      </c>
      <c r="G19" s="110">
        <f t="shared" si="2"/>
        <v>0</v>
      </c>
      <c r="H19" s="110">
        <f t="shared" si="3"/>
        <v>0</v>
      </c>
      <c r="I19" s="114">
        <f t="shared" si="4"/>
        <v>0</v>
      </c>
      <c r="J19" s="13" t="s">
        <v>245</v>
      </c>
      <c r="K19" s="115">
        <f t="shared" si="5"/>
        <v>0</v>
      </c>
      <c r="L19" s="13" t="s">
        <v>246</v>
      </c>
      <c r="M19" s="114">
        <v>1</v>
      </c>
      <c r="N19" s="13" t="s">
        <v>247</v>
      </c>
      <c r="O19" s="114">
        <f t="shared" si="6"/>
        <v>0</v>
      </c>
      <c r="P19" s="13" t="s">
        <v>248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16"/>
      <c r="B20" s="116"/>
      <c r="C20" s="119"/>
      <c r="D20" s="120">
        <f>SUM(D3:D19)</f>
        <v>23896.41</v>
      </c>
      <c r="E20" s="60"/>
      <c r="F20" s="121"/>
      <c r="G20" s="60"/>
      <c r="H20" s="60"/>
      <c r="I20" s="122"/>
      <c r="J20" s="119"/>
      <c r="K20" s="122"/>
      <c r="L20" s="119"/>
      <c r="M20" s="122"/>
      <c r="N20" s="119"/>
      <c r="O20" s="122"/>
      <c r="P20" s="11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2.5" customHeight="1" x14ac:dyDescent="0.2">
      <c r="A21" s="341" t="s">
        <v>249</v>
      </c>
      <c r="B21" s="292"/>
      <c r="C21" s="292"/>
      <c r="D21" s="289"/>
      <c r="E21" s="110" t="e">
        <f>SUM(E3:E19)</f>
        <v>#DIV/0!</v>
      </c>
      <c r="F21" s="123" t="e">
        <f>TRUNC(E21,0)</f>
        <v>#DIV/0!</v>
      </c>
      <c r="G21" s="110" t="e">
        <f>E21-F21</f>
        <v>#DIV/0!</v>
      </c>
      <c r="H21" s="110" t="e">
        <f>G21*$C$23*60</f>
        <v>#DIV/0!</v>
      </c>
      <c r="I21" s="124" t="e">
        <f>F21</f>
        <v>#DIV/0!</v>
      </c>
      <c r="J21" s="13" t="s">
        <v>245</v>
      </c>
      <c r="K21" s="115">
        <f>$C$23</f>
        <v>0</v>
      </c>
      <c r="L21" s="13" t="s">
        <v>246</v>
      </c>
      <c r="M21" s="124">
        <v>1</v>
      </c>
      <c r="N21" s="13" t="s">
        <v>247</v>
      </c>
      <c r="O21" s="124" t="e">
        <f>H21</f>
        <v>#DIV/0!</v>
      </c>
      <c r="P21" s="13" t="s">
        <v>248</v>
      </c>
      <c r="Q21" s="125" t="s">
        <v>250</v>
      </c>
      <c r="R21" s="50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16"/>
      <c r="B22" s="116"/>
      <c r="C22" s="116"/>
      <c r="D22" s="126"/>
      <c r="E22" s="2"/>
      <c r="F22" s="127"/>
      <c r="G22" s="2"/>
      <c r="H22" s="2"/>
      <c r="I22" s="128"/>
      <c r="J22" s="119"/>
      <c r="K22" s="122"/>
      <c r="L22" s="119"/>
      <c r="M22" s="122"/>
      <c r="N22" s="119"/>
      <c r="O22" s="128"/>
      <c r="P22" s="11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2">
      <c r="A23" s="342" t="s">
        <v>251</v>
      </c>
      <c r="B23" s="316"/>
      <c r="C23" s="129">
        <f>'Aba Carregamento'!B81</f>
        <v>0</v>
      </c>
      <c r="D23" s="130" t="s">
        <v>252</v>
      </c>
      <c r="E23" s="334" t="s">
        <v>253</v>
      </c>
      <c r="F23" s="318"/>
      <c r="G23" s="318"/>
      <c r="H23" s="318"/>
      <c r="I23" s="318"/>
      <c r="J23" s="318"/>
      <c r="K23" s="316"/>
      <c r="L23" s="335" t="e">
        <f>F21+G21</f>
        <v>#DIV/0!</v>
      </c>
      <c r="M23" s="318"/>
      <c r="N23" s="3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31"/>
      <c r="B24" s="131"/>
      <c r="C24" s="132"/>
      <c r="D24" s="132"/>
      <c r="E24" s="132"/>
      <c r="F24" s="128"/>
      <c r="G24" s="132"/>
      <c r="H24" s="1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">
      <c r="A25" s="343" t="s">
        <v>254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">
      <c r="A26" s="343" t="s">
        <v>255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35.25" customHeight="1" x14ac:dyDescent="0.2">
      <c r="A27" s="344" t="s">
        <v>256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133"/>
      <c r="R27" s="133"/>
      <c r="S27" s="133"/>
      <c r="T27" s="128"/>
      <c r="U27" s="128"/>
      <c r="V27" s="128"/>
      <c r="W27" s="128"/>
      <c r="X27" s="128"/>
      <c r="Y27" s="128"/>
      <c r="Z27" s="128"/>
    </row>
    <row r="28" spans="1:26" ht="36" customHeight="1" x14ac:dyDescent="0.2">
      <c r="A28" s="344" t="s">
        <v>257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133"/>
      <c r="R28" s="133"/>
      <c r="S28" s="133"/>
      <c r="T28" s="128"/>
      <c r="U28" s="128"/>
      <c r="V28" s="128"/>
      <c r="W28" s="128"/>
      <c r="X28" s="128"/>
      <c r="Y28" s="128"/>
      <c r="Z28" s="128"/>
    </row>
    <row r="29" spans="1:26" ht="36" customHeight="1" x14ac:dyDescent="0.2">
      <c r="A29" s="344" t="s">
        <v>258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133"/>
      <c r="R29" s="133"/>
      <c r="S29" s="133"/>
      <c r="T29" s="128"/>
      <c r="U29" s="128"/>
      <c r="V29" s="128"/>
      <c r="W29" s="128"/>
      <c r="X29" s="128"/>
      <c r="Y29" s="128"/>
      <c r="Z29" s="128"/>
    </row>
    <row r="30" spans="1:26" ht="18.75" customHeight="1" x14ac:dyDescent="0.2">
      <c r="A30" s="344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133"/>
      <c r="R30" s="133"/>
      <c r="S30" s="133"/>
      <c r="T30" s="128"/>
      <c r="U30" s="128"/>
      <c r="V30" s="128"/>
      <c r="W30" s="128"/>
      <c r="X30" s="128"/>
      <c r="Y30" s="128"/>
      <c r="Z30" s="128"/>
    </row>
    <row r="31" spans="1:26" ht="18.75" customHeight="1" x14ac:dyDescent="0.2">
      <c r="A31" s="345" t="s">
        <v>259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133"/>
      <c r="R31" s="133"/>
      <c r="S31" s="133"/>
      <c r="T31" s="128"/>
      <c r="U31" s="128"/>
      <c r="V31" s="128"/>
      <c r="W31" s="128"/>
      <c r="X31" s="128"/>
      <c r="Y31" s="128"/>
      <c r="Z31" s="128"/>
    </row>
    <row r="32" spans="1:26" ht="36" customHeight="1" x14ac:dyDescent="0.2">
      <c r="A32" s="345" t="s">
        <v>260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133"/>
      <c r="R32" s="133"/>
      <c r="S32" s="133"/>
      <c r="T32" s="128"/>
      <c r="U32" s="128"/>
      <c r="V32" s="128"/>
      <c r="W32" s="128"/>
      <c r="X32" s="128"/>
      <c r="Y32" s="128"/>
      <c r="Z32" s="128"/>
    </row>
    <row r="33" spans="1:26" ht="12.75" customHeight="1" x14ac:dyDescent="0.2">
      <c r="A33" s="348" t="s">
        <v>261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133"/>
      <c r="R33" s="133"/>
      <c r="S33" s="133"/>
      <c r="T33" s="128"/>
      <c r="U33" s="128"/>
      <c r="V33" s="128"/>
      <c r="W33" s="128"/>
      <c r="X33" s="128"/>
      <c r="Y33" s="128"/>
      <c r="Z33" s="128"/>
    </row>
    <row r="34" spans="1:26" ht="12.75" customHeight="1" x14ac:dyDescent="0.2">
      <c r="A34" s="349" t="s">
        <v>262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133"/>
      <c r="R34" s="133"/>
      <c r="S34" s="133"/>
      <c r="T34" s="128"/>
      <c r="U34" s="128"/>
      <c r="V34" s="128"/>
      <c r="W34" s="128"/>
      <c r="X34" s="128"/>
      <c r="Y34" s="128"/>
      <c r="Z34" s="128"/>
    </row>
    <row r="35" spans="1:26" ht="36" customHeight="1" x14ac:dyDescent="0.2">
      <c r="A35" s="350" t="s">
        <v>263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7"/>
      <c r="Q35" s="133"/>
      <c r="R35" s="133"/>
      <c r="S35" s="133"/>
      <c r="T35" s="128"/>
      <c r="U35" s="128"/>
      <c r="V35" s="128"/>
      <c r="W35" s="128"/>
      <c r="X35" s="128"/>
      <c r="Y35" s="128"/>
      <c r="Z35" s="128"/>
    </row>
    <row r="36" spans="1:26" ht="12.75" customHeight="1" x14ac:dyDescent="0.2">
      <c r="A36" s="133"/>
      <c r="B36" s="133"/>
      <c r="C36" s="133"/>
      <c r="D36" s="133"/>
      <c r="E36" s="134"/>
      <c r="F36" s="133"/>
      <c r="G36" s="134"/>
      <c r="H36" s="134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28"/>
      <c r="U36" s="128"/>
      <c r="V36" s="128"/>
      <c r="W36" s="128"/>
      <c r="X36" s="128"/>
      <c r="Y36" s="128"/>
      <c r="Z36" s="128"/>
    </row>
    <row r="37" spans="1:26" ht="12.75" customHeight="1" x14ac:dyDescent="0.2">
      <c r="A37" s="133"/>
      <c r="B37" s="133"/>
      <c r="C37" s="133"/>
      <c r="D37" s="133"/>
      <c r="E37" s="134"/>
      <c r="F37" s="133"/>
      <c r="G37" s="134"/>
      <c r="H37" s="134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28"/>
      <c r="U37" s="128"/>
      <c r="V37" s="128"/>
      <c r="W37" s="128"/>
      <c r="X37" s="128"/>
      <c r="Y37" s="128"/>
      <c r="Z37" s="128"/>
    </row>
    <row r="38" spans="1:26" ht="18.75" customHeight="1" x14ac:dyDescent="0.2">
      <c r="A38" s="346" t="s">
        <v>264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128"/>
      <c r="U38" s="128"/>
      <c r="V38" s="128"/>
      <c r="W38" s="128"/>
      <c r="X38" s="128"/>
      <c r="Y38" s="128"/>
      <c r="Z38" s="128"/>
    </row>
    <row r="39" spans="1:26" ht="12.75" customHeight="1" x14ac:dyDescent="0.2">
      <c r="A39" s="133"/>
      <c r="B39" s="133"/>
      <c r="C39" s="133"/>
      <c r="D39" s="133"/>
      <c r="E39" s="134"/>
      <c r="F39" s="133"/>
      <c r="G39" s="134"/>
      <c r="H39" s="134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28"/>
      <c r="U39" s="128"/>
      <c r="V39" s="128"/>
      <c r="W39" s="128"/>
      <c r="X39" s="128"/>
      <c r="Y39" s="128"/>
      <c r="Z39" s="128"/>
    </row>
    <row r="40" spans="1:26" ht="36" customHeight="1" x14ac:dyDescent="0.2">
      <c r="A40" s="346" t="s">
        <v>265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128"/>
      <c r="U40" s="128"/>
      <c r="V40" s="128"/>
      <c r="W40" s="128"/>
      <c r="X40" s="128"/>
      <c r="Y40" s="128"/>
      <c r="Z40" s="128"/>
    </row>
    <row r="41" spans="1:26" ht="12.75" customHeight="1" x14ac:dyDescent="0.2">
      <c r="A41" s="133"/>
      <c r="B41" s="133"/>
      <c r="C41" s="133"/>
      <c r="D41" s="133"/>
      <c r="E41" s="134"/>
      <c r="F41" s="133"/>
      <c r="G41" s="134"/>
      <c r="H41" s="134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28"/>
      <c r="U41" s="128"/>
      <c r="V41" s="128"/>
      <c r="W41" s="128"/>
      <c r="X41" s="128"/>
      <c r="Y41" s="128"/>
      <c r="Z41" s="128"/>
    </row>
    <row r="42" spans="1:26" ht="18.75" customHeight="1" x14ac:dyDescent="0.2">
      <c r="A42" s="346" t="s">
        <v>266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128"/>
      <c r="U42" s="128"/>
      <c r="V42" s="128"/>
      <c r="W42" s="128"/>
      <c r="X42" s="128"/>
      <c r="Y42" s="128"/>
      <c r="Z42" s="128"/>
    </row>
    <row r="43" spans="1:26" ht="18.75" customHeight="1" x14ac:dyDescent="0.2">
      <c r="A43" s="346" t="s">
        <v>267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133"/>
      <c r="Q43" s="133"/>
      <c r="R43" s="133"/>
      <c r="S43" s="133"/>
      <c r="T43" s="128"/>
      <c r="U43" s="128"/>
      <c r="V43" s="128"/>
      <c r="W43" s="128"/>
      <c r="X43" s="128"/>
      <c r="Y43" s="128"/>
      <c r="Z43" s="128"/>
    </row>
    <row r="44" spans="1:26" ht="35.25" customHeight="1" x14ac:dyDescent="0.2">
      <c r="A44" s="347" t="s">
        <v>268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133"/>
      <c r="R44" s="133"/>
      <c r="S44" s="133"/>
      <c r="T44" s="128"/>
      <c r="U44" s="128"/>
      <c r="V44" s="128"/>
      <c r="W44" s="128"/>
      <c r="X44" s="128"/>
      <c r="Y44" s="128"/>
      <c r="Z44" s="128"/>
    </row>
    <row r="45" spans="1:26" ht="12.75" customHeight="1" x14ac:dyDescent="0.2">
      <c r="A45" s="1"/>
      <c r="B45" s="1"/>
      <c r="C45" s="1"/>
      <c r="D45" s="1"/>
      <c r="E45" s="2"/>
      <c r="F45" s="1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30:P30"/>
    <mergeCell ref="A31:P31"/>
    <mergeCell ref="A43:O43"/>
    <mergeCell ref="A44:P44"/>
    <mergeCell ref="A32:P32"/>
    <mergeCell ref="A33:P33"/>
    <mergeCell ref="A34:P34"/>
    <mergeCell ref="A35:P35"/>
    <mergeCell ref="A38:S38"/>
    <mergeCell ref="A40:S40"/>
    <mergeCell ref="A42:S42"/>
    <mergeCell ref="A25:P25"/>
    <mergeCell ref="A26:P26"/>
    <mergeCell ref="A27:P27"/>
    <mergeCell ref="A28:P28"/>
    <mergeCell ref="A29:P29"/>
    <mergeCell ref="E23:K23"/>
    <mergeCell ref="L23:N23"/>
    <mergeCell ref="A1:P1"/>
    <mergeCell ref="I2:P2"/>
    <mergeCell ref="A3:A8"/>
    <mergeCell ref="A9:A14"/>
    <mergeCell ref="A15:A17"/>
    <mergeCell ref="A21:D21"/>
    <mergeCell ref="A23:B23"/>
  </mergeCells>
  <printOptions horizontalCentered="1"/>
  <pageMargins left="0.39305555555555599" right="0.39305555555555599" top="0.39305555555555599" bottom="0.39305555555555599" header="0" footer="0"/>
  <pageSetup paperSize="9" scale="6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Z1000"/>
  <sheetViews>
    <sheetView showGridLines="0" workbookViewId="0">
      <selection sqref="A1:P1"/>
    </sheetView>
  </sheetViews>
  <sheetFormatPr defaultColWidth="12.625" defaultRowHeight="15" customHeight="1" x14ac:dyDescent="0.2"/>
  <cols>
    <col min="1" max="1" width="22.875" customWidth="1"/>
    <col min="2" max="2" width="17.5" customWidth="1"/>
    <col min="3" max="3" width="10.5" customWidth="1"/>
    <col min="4" max="4" width="10.75" customWidth="1"/>
    <col min="5" max="6" width="11.25" customWidth="1"/>
    <col min="7" max="7" width="9.625" customWidth="1"/>
    <col min="8" max="8" width="11.875" customWidth="1"/>
    <col min="9" max="9" width="5.125" customWidth="1"/>
    <col min="10" max="10" width="9.875" customWidth="1"/>
    <col min="11" max="11" width="2.625" customWidth="1"/>
    <col min="12" max="12" width="5.75" customWidth="1"/>
    <col min="13" max="13" width="2.125" customWidth="1"/>
    <col min="14" max="14" width="9.75" customWidth="1"/>
    <col min="15" max="15" width="8.75" customWidth="1"/>
    <col min="16" max="16" width="8.375" customWidth="1"/>
    <col min="17" max="17" width="10.25" customWidth="1"/>
    <col min="18" max="19" width="8" customWidth="1"/>
    <col min="20" max="26" width="7.875" customWidth="1"/>
  </cols>
  <sheetData>
    <row r="1" spans="1:26" ht="12.75" customHeight="1" x14ac:dyDescent="0.2">
      <c r="A1" s="336" t="s">
        <v>269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4.75" customHeight="1" x14ac:dyDescent="0.2">
      <c r="A2" s="110" t="s">
        <v>21</v>
      </c>
      <c r="B2" s="110" t="s">
        <v>237</v>
      </c>
      <c r="C2" s="13" t="s">
        <v>238</v>
      </c>
      <c r="D2" s="13" t="s">
        <v>239</v>
      </c>
      <c r="E2" s="13" t="s">
        <v>240</v>
      </c>
      <c r="F2" s="13" t="s">
        <v>241</v>
      </c>
      <c r="G2" s="13" t="s">
        <v>242</v>
      </c>
      <c r="H2" s="13" t="s">
        <v>243</v>
      </c>
      <c r="I2" s="338" t="s">
        <v>244</v>
      </c>
      <c r="J2" s="292"/>
      <c r="K2" s="292"/>
      <c r="L2" s="292"/>
      <c r="M2" s="292"/>
      <c r="N2" s="292"/>
      <c r="O2" s="292"/>
      <c r="P2" s="28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39" t="s">
        <v>25</v>
      </c>
      <c r="B3" s="7" t="str">
        <f>'Aba Carregamento'!B45</f>
        <v>pisos acarpetados</v>
      </c>
      <c r="C3" s="111">
        <f>'Aba Carregamento'!D45</f>
        <v>0</v>
      </c>
      <c r="D3" s="112">
        <f>'Aba Carregamento'!E45</f>
        <v>0</v>
      </c>
      <c r="E3" s="110">
        <f t="shared" ref="E3:E8" si="0">0</f>
        <v>0</v>
      </c>
      <c r="F3" s="113">
        <f t="shared" ref="F3:F6" si="1">TRUNC(E3,0)</f>
        <v>0</v>
      </c>
      <c r="G3" s="110">
        <f t="shared" ref="G3:G6" si="2">E3-F3</f>
        <v>0</v>
      </c>
      <c r="H3" s="110">
        <f t="shared" ref="H3:H6" si="3">G3*$C$24*60</f>
        <v>0</v>
      </c>
      <c r="I3" s="114">
        <f t="shared" ref="I3:I20" si="4">F3</f>
        <v>0</v>
      </c>
      <c r="J3" s="13" t="s">
        <v>245</v>
      </c>
      <c r="K3" s="115">
        <f t="shared" ref="K3:K20" si="5">$C$24</f>
        <v>0</v>
      </c>
      <c r="L3" s="13" t="s">
        <v>246</v>
      </c>
      <c r="M3" s="114">
        <v>1</v>
      </c>
      <c r="N3" s="13" t="s">
        <v>247</v>
      </c>
      <c r="O3" s="114">
        <f t="shared" ref="O3:O20" si="6">H3</f>
        <v>0</v>
      </c>
      <c r="P3" s="13" t="s">
        <v>248</v>
      </c>
      <c r="Q3" s="116"/>
      <c r="R3" s="117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04"/>
      <c r="B4" s="7" t="str">
        <f>'Aba Carregamento'!B46</f>
        <v>pisos frios</v>
      </c>
      <c r="C4" s="111">
        <f>'Aba Carregamento'!D46</f>
        <v>0</v>
      </c>
      <c r="D4" s="112">
        <f>'Aba Carregamento'!E46</f>
        <v>0</v>
      </c>
      <c r="E4" s="110">
        <f t="shared" si="0"/>
        <v>0</v>
      </c>
      <c r="F4" s="113">
        <f t="shared" si="1"/>
        <v>0</v>
      </c>
      <c r="G4" s="110">
        <f t="shared" si="2"/>
        <v>0</v>
      </c>
      <c r="H4" s="110">
        <f t="shared" si="3"/>
        <v>0</v>
      </c>
      <c r="I4" s="114">
        <f t="shared" si="4"/>
        <v>0</v>
      </c>
      <c r="J4" s="13" t="s">
        <v>245</v>
      </c>
      <c r="K4" s="115">
        <f t="shared" si="5"/>
        <v>0</v>
      </c>
      <c r="L4" s="13" t="s">
        <v>246</v>
      </c>
      <c r="M4" s="114">
        <v>1</v>
      </c>
      <c r="N4" s="13" t="s">
        <v>247</v>
      </c>
      <c r="O4" s="114">
        <f t="shared" si="6"/>
        <v>0</v>
      </c>
      <c r="P4" s="13" t="s">
        <v>248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04"/>
      <c r="B5" s="7" t="str">
        <f>'Aba Carregamento'!B47</f>
        <v>laboratórios</v>
      </c>
      <c r="C5" s="111">
        <f>'Aba Carregamento'!D47</f>
        <v>0</v>
      </c>
      <c r="D5" s="112">
        <f>'Aba Carregamento'!E47</f>
        <v>0</v>
      </c>
      <c r="E5" s="110">
        <f t="shared" si="0"/>
        <v>0</v>
      </c>
      <c r="F5" s="113">
        <f t="shared" si="1"/>
        <v>0</v>
      </c>
      <c r="G5" s="110">
        <f t="shared" si="2"/>
        <v>0</v>
      </c>
      <c r="H5" s="110">
        <f t="shared" si="3"/>
        <v>0</v>
      </c>
      <c r="I5" s="114">
        <f t="shared" si="4"/>
        <v>0</v>
      </c>
      <c r="J5" s="13" t="s">
        <v>245</v>
      </c>
      <c r="K5" s="115">
        <f t="shared" si="5"/>
        <v>0</v>
      </c>
      <c r="L5" s="13" t="s">
        <v>246</v>
      </c>
      <c r="M5" s="114">
        <v>1</v>
      </c>
      <c r="N5" s="13" t="s">
        <v>247</v>
      </c>
      <c r="O5" s="114">
        <f t="shared" si="6"/>
        <v>0</v>
      </c>
      <c r="P5" s="13" t="s">
        <v>248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304"/>
      <c r="B6" s="7" t="str">
        <f>'Aba Carregamento'!B48</f>
        <v>almoxarifados/ galpões</v>
      </c>
      <c r="C6" s="111">
        <f>'Aba Carregamento'!D48</f>
        <v>0</v>
      </c>
      <c r="D6" s="112">
        <f>'Aba Carregamento'!E48</f>
        <v>0</v>
      </c>
      <c r="E6" s="110">
        <f t="shared" si="0"/>
        <v>0</v>
      </c>
      <c r="F6" s="113">
        <f t="shared" si="1"/>
        <v>0</v>
      </c>
      <c r="G6" s="110">
        <f t="shared" si="2"/>
        <v>0</v>
      </c>
      <c r="H6" s="110">
        <f t="shared" si="3"/>
        <v>0</v>
      </c>
      <c r="I6" s="114">
        <f t="shared" si="4"/>
        <v>0</v>
      </c>
      <c r="J6" s="13" t="s">
        <v>245</v>
      </c>
      <c r="K6" s="115">
        <f t="shared" si="5"/>
        <v>0</v>
      </c>
      <c r="L6" s="13" t="s">
        <v>246</v>
      </c>
      <c r="M6" s="114">
        <v>1</v>
      </c>
      <c r="N6" s="13" t="s">
        <v>247</v>
      </c>
      <c r="O6" s="114">
        <f t="shared" si="6"/>
        <v>0</v>
      </c>
      <c r="P6" s="13" t="s">
        <v>248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04"/>
      <c r="B7" s="7" t="str">
        <f>'Aba Carregamento'!B49</f>
        <v>oficinas</v>
      </c>
      <c r="C7" s="111">
        <f>'Aba Carregamento'!D49</f>
        <v>0</v>
      </c>
      <c r="D7" s="112">
        <f>'Aba Carregamento'!E49</f>
        <v>0</v>
      </c>
      <c r="E7" s="110">
        <f t="shared" si="0"/>
        <v>0</v>
      </c>
      <c r="F7" s="110">
        <f t="shared" ref="F7:H7" si="7">0</f>
        <v>0</v>
      </c>
      <c r="G7" s="110">
        <f t="shared" si="7"/>
        <v>0</v>
      </c>
      <c r="H7" s="110">
        <f t="shared" si="7"/>
        <v>0</v>
      </c>
      <c r="I7" s="114">
        <f t="shared" si="4"/>
        <v>0</v>
      </c>
      <c r="J7" s="13" t="s">
        <v>245</v>
      </c>
      <c r="K7" s="115">
        <f t="shared" si="5"/>
        <v>0</v>
      </c>
      <c r="L7" s="13" t="s">
        <v>246</v>
      </c>
      <c r="M7" s="114">
        <v>1</v>
      </c>
      <c r="N7" s="13" t="s">
        <v>247</v>
      </c>
      <c r="O7" s="114">
        <f t="shared" si="6"/>
        <v>0</v>
      </c>
      <c r="P7" s="13" t="s">
        <v>248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304"/>
      <c r="B8" s="7" t="str">
        <f>'Aba Carregamento'!B50</f>
        <v>áreas com espaços livres - saguão, hall e salão</v>
      </c>
      <c r="C8" s="111">
        <f>'Aba Carregamento'!D50</f>
        <v>0</v>
      </c>
      <c r="D8" s="112">
        <f>'Aba Carregamento'!E50</f>
        <v>0</v>
      </c>
      <c r="E8" s="110">
        <f t="shared" si="0"/>
        <v>0</v>
      </c>
      <c r="F8" s="110">
        <f t="shared" ref="F8:H8" si="8">0</f>
        <v>0</v>
      </c>
      <c r="G8" s="110">
        <f t="shared" si="8"/>
        <v>0</v>
      </c>
      <c r="H8" s="110">
        <f t="shared" si="8"/>
        <v>0</v>
      </c>
      <c r="I8" s="114">
        <f t="shared" si="4"/>
        <v>0</v>
      </c>
      <c r="J8" s="13" t="s">
        <v>245</v>
      </c>
      <c r="K8" s="115">
        <f t="shared" si="5"/>
        <v>0</v>
      </c>
      <c r="L8" s="13" t="s">
        <v>246</v>
      </c>
      <c r="M8" s="114">
        <v>1</v>
      </c>
      <c r="N8" s="13" t="s">
        <v>247</v>
      </c>
      <c r="O8" s="114">
        <f t="shared" si="6"/>
        <v>0</v>
      </c>
      <c r="P8" s="13" t="s">
        <v>248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307"/>
      <c r="B9" s="135" t="str">
        <f>'Aba Carregamento'!B51</f>
        <v>banheiros</v>
      </c>
      <c r="C9" s="111">
        <f>'Aba Carregamento'!D51</f>
        <v>0</v>
      </c>
      <c r="D9" s="112">
        <f>'Aba Carregamento'!E51</f>
        <v>739.35</v>
      </c>
      <c r="E9" s="110" t="e">
        <f>D9/C9</f>
        <v>#DIV/0!</v>
      </c>
      <c r="F9" s="113" t="e">
        <f>TRUNC(E9,0)</f>
        <v>#DIV/0!</v>
      </c>
      <c r="G9" s="110" t="e">
        <f>E9-F9</f>
        <v>#DIV/0!</v>
      </c>
      <c r="H9" s="110" t="e">
        <f t="shared" ref="H9:H12" si="9">G9*$C$24*60</f>
        <v>#DIV/0!</v>
      </c>
      <c r="I9" s="114" t="e">
        <f t="shared" si="4"/>
        <v>#DIV/0!</v>
      </c>
      <c r="J9" s="13" t="s">
        <v>245</v>
      </c>
      <c r="K9" s="115">
        <f t="shared" si="5"/>
        <v>0</v>
      </c>
      <c r="L9" s="13" t="s">
        <v>246</v>
      </c>
      <c r="M9" s="114">
        <v>1</v>
      </c>
      <c r="N9" s="13" t="s">
        <v>247</v>
      </c>
      <c r="O9" s="114" t="e">
        <f t="shared" si="6"/>
        <v>#DIV/0!</v>
      </c>
      <c r="P9" s="13" t="s">
        <v>248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339" t="s">
        <v>32</v>
      </c>
      <c r="B10" s="7" t="str">
        <f>'Aba Carregamento'!B52</f>
        <v>pisos pavimentados adjacentes/contíguos às edificações</v>
      </c>
      <c r="C10" s="111">
        <f>'Aba Carregamento'!D52</f>
        <v>0</v>
      </c>
      <c r="D10" s="112">
        <f>'Aba Carregamento'!E52</f>
        <v>0</v>
      </c>
      <c r="E10" s="110">
        <f t="shared" ref="E10:G10" si="10">0</f>
        <v>0</v>
      </c>
      <c r="F10" s="110">
        <f t="shared" si="10"/>
        <v>0</v>
      </c>
      <c r="G10" s="110">
        <f t="shared" si="10"/>
        <v>0</v>
      </c>
      <c r="H10" s="110">
        <f t="shared" si="9"/>
        <v>0</v>
      </c>
      <c r="I10" s="114">
        <f t="shared" si="4"/>
        <v>0</v>
      </c>
      <c r="J10" s="13" t="s">
        <v>245</v>
      </c>
      <c r="K10" s="115">
        <f t="shared" si="5"/>
        <v>0</v>
      </c>
      <c r="L10" s="13" t="s">
        <v>246</v>
      </c>
      <c r="M10" s="114">
        <v>1</v>
      </c>
      <c r="N10" s="13" t="s">
        <v>247</v>
      </c>
      <c r="O10" s="114">
        <f t="shared" si="6"/>
        <v>0</v>
      </c>
      <c r="P10" s="13" t="s">
        <v>248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04"/>
      <c r="B11" s="7" t="str">
        <f>'Aba Carregamento'!B53</f>
        <v>varrição de passeios e arruamentos</v>
      </c>
      <c r="C11" s="111">
        <f>'Aba Carregamento'!D53</f>
        <v>0</v>
      </c>
      <c r="D11" s="112">
        <f>'Aba Carregamento'!E53</f>
        <v>0</v>
      </c>
      <c r="E11" s="110">
        <f t="shared" ref="E11:G11" si="11">0</f>
        <v>0</v>
      </c>
      <c r="F11" s="110">
        <f t="shared" si="11"/>
        <v>0</v>
      </c>
      <c r="G11" s="110">
        <f t="shared" si="11"/>
        <v>0</v>
      </c>
      <c r="H11" s="110">
        <f t="shared" si="9"/>
        <v>0</v>
      </c>
      <c r="I11" s="114">
        <f t="shared" si="4"/>
        <v>0</v>
      </c>
      <c r="J11" s="13" t="s">
        <v>245</v>
      </c>
      <c r="K11" s="115">
        <f t="shared" si="5"/>
        <v>0</v>
      </c>
      <c r="L11" s="13" t="s">
        <v>246</v>
      </c>
      <c r="M11" s="114">
        <v>1</v>
      </c>
      <c r="N11" s="13" t="s">
        <v>247</v>
      </c>
      <c r="O11" s="114">
        <f t="shared" si="6"/>
        <v>0</v>
      </c>
      <c r="P11" s="13" t="s">
        <v>248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304"/>
      <c r="B12" s="7" t="str">
        <f>'Aba Carregamento'!B54</f>
        <v>pátios e áreas verdes com alta frequência</v>
      </c>
      <c r="C12" s="111">
        <f>'Aba Carregamento'!D54</f>
        <v>0</v>
      </c>
      <c r="D12" s="112">
        <f>'Aba Carregamento'!E54</f>
        <v>0</v>
      </c>
      <c r="E12" s="110">
        <f t="shared" ref="E12:G12" si="12">0</f>
        <v>0</v>
      </c>
      <c r="F12" s="110">
        <f t="shared" si="12"/>
        <v>0</v>
      </c>
      <c r="G12" s="110">
        <f t="shared" si="12"/>
        <v>0</v>
      </c>
      <c r="H12" s="110">
        <f t="shared" si="9"/>
        <v>0</v>
      </c>
      <c r="I12" s="114">
        <f t="shared" si="4"/>
        <v>0</v>
      </c>
      <c r="J12" s="13" t="s">
        <v>245</v>
      </c>
      <c r="K12" s="115">
        <f t="shared" si="5"/>
        <v>0</v>
      </c>
      <c r="L12" s="13" t="s">
        <v>246</v>
      </c>
      <c r="M12" s="114">
        <v>1</v>
      </c>
      <c r="N12" s="13" t="s">
        <v>247</v>
      </c>
      <c r="O12" s="114">
        <f t="shared" si="6"/>
        <v>0</v>
      </c>
      <c r="P12" s="13" t="s">
        <v>248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304"/>
      <c r="B13" s="7" t="str">
        <f>'Aba Carregamento'!B55</f>
        <v>pátios e áreas verdes com média frequência</v>
      </c>
      <c r="C13" s="111">
        <f>'Aba Carregamento'!D55</f>
        <v>0</v>
      </c>
      <c r="D13" s="112">
        <f>'Aba Carregamento'!E55</f>
        <v>0</v>
      </c>
      <c r="E13" s="110">
        <f t="shared" ref="E13:H13" si="13">0</f>
        <v>0</v>
      </c>
      <c r="F13" s="110">
        <f t="shared" si="13"/>
        <v>0</v>
      </c>
      <c r="G13" s="110">
        <f t="shared" si="13"/>
        <v>0</v>
      </c>
      <c r="H13" s="110">
        <f t="shared" si="13"/>
        <v>0</v>
      </c>
      <c r="I13" s="114">
        <f t="shared" si="4"/>
        <v>0</v>
      </c>
      <c r="J13" s="13" t="s">
        <v>245</v>
      </c>
      <c r="K13" s="115">
        <f t="shared" si="5"/>
        <v>0</v>
      </c>
      <c r="L13" s="13" t="s">
        <v>246</v>
      </c>
      <c r="M13" s="114">
        <v>1</v>
      </c>
      <c r="N13" s="13" t="s">
        <v>247</v>
      </c>
      <c r="O13" s="114">
        <f t="shared" si="6"/>
        <v>0</v>
      </c>
      <c r="P13" s="13" t="s">
        <v>248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04"/>
      <c r="B14" s="7" t="str">
        <f>'Aba Carregamento'!B56</f>
        <v>pátios e áreas verdes com baixa frequência</v>
      </c>
      <c r="C14" s="111">
        <f>'Aba Carregamento'!D56</f>
        <v>0</v>
      </c>
      <c r="D14" s="112">
        <f>'Aba Carregamento'!E56</f>
        <v>0</v>
      </c>
      <c r="E14" s="110">
        <f t="shared" ref="E14:E16" si="14">0</f>
        <v>0</v>
      </c>
      <c r="F14" s="113">
        <f t="shared" ref="F14:F20" si="15">TRUNC(E10,0)</f>
        <v>0</v>
      </c>
      <c r="G14" s="110">
        <f t="shared" ref="G14:G20" si="16">E10-F14</f>
        <v>0</v>
      </c>
      <c r="H14" s="110">
        <f t="shared" ref="H14:H20" si="17">G14*$C$24*60</f>
        <v>0</v>
      </c>
      <c r="I14" s="114">
        <f t="shared" si="4"/>
        <v>0</v>
      </c>
      <c r="J14" s="13" t="s">
        <v>245</v>
      </c>
      <c r="K14" s="115">
        <f t="shared" si="5"/>
        <v>0</v>
      </c>
      <c r="L14" s="13" t="s">
        <v>246</v>
      </c>
      <c r="M14" s="114">
        <v>1</v>
      </c>
      <c r="N14" s="13" t="s">
        <v>247</v>
      </c>
      <c r="O14" s="114">
        <f t="shared" si="6"/>
        <v>0</v>
      </c>
      <c r="P14" s="13" t="s">
        <v>248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307"/>
      <c r="B15" s="7" t="str">
        <f>'Aba Carregamento'!B57</f>
        <v>coleta de detritos em pátios e áreas verdes com frequência diária</v>
      </c>
      <c r="C15" s="111">
        <f>'Aba Carregamento'!D57</f>
        <v>0</v>
      </c>
      <c r="D15" s="112">
        <f>'Aba Carregamento'!E57</f>
        <v>0</v>
      </c>
      <c r="E15" s="110">
        <f t="shared" si="14"/>
        <v>0</v>
      </c>
      <c r="F15" s="113">
        <f t="shared" si="15"/>
        <v>0</v>
      </c>
      <c r="G15" s="110">
        <f t="shared" si="16"/>
        <v>0</v>
      </c>
      <c r="H15" s="110">
        <f t="shared" si="17"/>
        <v>0</v>
      </c>
      <c r="I15" s="114">
        <f t="shared" si="4"/>
        <v>0</v>
      </c>
      <c r="J15" s="13" t="s">
        <v>245</v>
      </c>
      <c r="K15" s="115">
        <f t="shared" si="5"/>
        <v>0</v>
      </c>
      <c r="L15" s="13" t="s">
        <v>246</v>
      </c>
      <c r="M15" s="114">
        <v>1</v>
      </c>
      <c r="N15" s="13" t="s">
        <v>247</v>
      </c>
      <c r="O15" s="114">
        <f t="shared" si="6"/>
        <v>0</v>
      </c>
      <c r="P15" s="13" t="s">
        <v>248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customHeight="1" x14ac:dyDescent="0.2">
      <c r="A16" s="340" t="s">
        <v>39</v>
      </c>
      <c r="B16" s="7" t="str">
        <f>'Aba Carregamento'!B58</f>
        <v>face externa com exposição a situação de risco</v>
      </c>
      <c r="C16" s="111">
        <f>'Aba Carregamento'!D58</f>
        <v>0</v>
      </c>
      <c r="D16" s="112">
        <f>'Aba Carregamento'!E58</f>
        <v>0</v>
      </c>
      <c r="E16" s="110">
        <f t="shared" si="14"/>
        <v>0</v>
      </c>
      <c r="F16" s="113">
        <f t="shared" si="15"/>
        <v>0</v>
      </c>
      <c r="G16" s="110">
        <f t="shared" si="16"/>
        <v>0</v>
      </c>
      <c r="H16" s="110">
        <f t="shared" si="17"/>
        <v>0</v>
      </c>
      <c r="I16" s="114">
        <f t="shared" si="4"/>
        <v>0</v>
      </c>
      <c r="J16" s="13" t="s">
        <v>245</v>
      </c>
      <c r="K16" s="115">
        <f t="shared" si="5"/>
        <v>0</v>
      </c>
      <c r="L16" s="13" t="s">
        <v>246</v>
      </c>
      <c r="M16" s="114">
        <v>1</v>
      </c>
      <c r="N16" s="13" t="s">
        <v>247</v>
      </c>
      <c r="O16" s="114">
        <f t="shared" si="6"/>
        <v>0</v>
      </c>
      <c r="P16" s="13" t="s">
        <v>248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304"/>
      <c r="B17" s="7" t="str">
        <f>'Aba Carregamento'!B59</f>
        <v>face externa sem exposição a situação de risco</v>
      </c>
      <c r="C17" s="111">
        <f>'Aba Carregamento'!D59</f>
        <v>0</v>
      </c>
      <c r="D17" s="112">
        <f>'Aba Carregamento'!E59</f>
        <v>0</v>
      </c>
      <c r="E17" s="2"/>
      <c r="F17" s="113">
        <f t="shared" si="15"/>
        <v>0</v>
      </c>
      <c r="G17" s="110">
        <f t="shared" si="16"/>
        <v>0</v>
      </c>
      <c r="H17" s="110">
        <f t="shared" si="17"/>
        <v>0</v>
      </c>
      <c r="I17" s="114">
        <f t="shared" si="4"/>
        <v>0</v>
      </c>
      <c r="J17" s="13" t="s">
        <v>245</v>
      </c>
      <c r="K17" s="115">
        <f t="shared" si="5"/>
        <v>0</v>
      </c>
      <c r="L17" s="13" t="s">
        <v>246</v>
      </c>
      <c r="M17" s="114">
        <v>1</v>
      </c>
      <c r="N17" s="13" t="s">
        <v>247</v>
      </c>
      <c r="O17" s="114">
        <f t="shared" si="6"/>
        <v>0</v>
      </c>
      <c r="P17" s="13" t="s">
        <v>248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307"/>
      <c r="B18" s="7" t="str">
        <f>'Aba Carregamento'!B60</f>
        <v>face interna</v>
      </c>
      <c r="C18" s="111">
        <f>'Aba Carregamento'!D60</f>
        <v>0</v>
      </c>
      <c r="D18" s="112">
        <f>'Aba Carregamento'!E60</f>
        <v>0</v>
      </c>
      <c r="E18" s="2"/>
      <c r="F18" s="113">
        <f t="shared" si="15"/>
        <v>0</v>
      </c>
      <c r="G18" s="110">
        <f t="shared" si="16"/>
        <v>0</v>
      </c>
      <c r="H18" s="110">
        <f t="shared" si="17"/>
        <v>0</v>
      </c>
      <c r="I18" s="114">
        <f t="shared" si="4"/>
        <v>0</v>
      </c>
      <c r="J18" s="13" t="s">
        <v>245</v>
      </c>
      <c r="K18" s="115">
        <f t="shared" si="5"/>
        <v>0</v>
      </c>
      <c r="L18" s="13" t="s">
        <v>246</v>
      </c>
      <c r="M18" s="114">
        <v>1</v>
      </c>
      <c r="N18" s="13" t="s">
        <v>247</v>
      </c>
      <c r="O18" s="114">
        <f t="shared" si="6"/>
        <v>0</v>
      </c>
      <c r="P18" s="13" t="s">
        <v>248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18" t="s">
        <v>43</v>
      </c>
      <c r="B19" s="7" t="str">
        <f>'Aba Carregamento'!B61</f>
        <v>fachadas envidraçadas</v>
      </c>
      <c r="C19" s="111">
        <f>'Aba Carregamento'!D61</f>
        <v>0</v>
      </c>
      <c r="D19" s="112">
        <f>'Aba Carregamento'!E61</f>
        <v>0</v>
      </c>
      <c r="E19" s="2"/>
      <c r="F19" s="113">
        <f t="shared" si="15"/>
        <v>0</v>
      </c>
      <c r="G19" s="110">
        <f t="shared" si="16"/>
        <v>0</v>
      </c>
      <c r="H19" s="110">
        <f t="shared" si="17"/>
        <v>0</v>
      </c>
      <c r="I19" s="114">
        <f t="shared" si="4"/>
        <v>0</v>
      </c>
      <c r="J19" s="13" t="s">
        <v>245</v>
      </c>
      <c r="K19" s="115">
        <f t="shared" si="5"/>
        <v>0</v>
      </c>
      <c r="L19" s="13" t="s">
        <v>246</v>
      </c>
      <c r="M19" s="114">
        <v>1</v>
      </c>
      <c r="N19" s="13" t="s">
        <v>247</v>
      </c>
      <c r="O19" s="114">
        <f t="shared" si="6"/>
        <v>0</v>
      </c>
      <c r="P19" s="13" t="s">
        <v>248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18" t="s">
        <v>45</v>
      </c>
      <c r="B20" s="7" t="str">
        <f>'Aba Carregamento'!B62</f>
        <v>áreas hospitalares e assemelhadas</v>
      </c>
      <c r="C20" s="111">
        <f>'Aba Carregamento'!D62</f>
        <v>0</v>
      </c>
      <c r="D20" s="112">
        <f>'Aba Carregamento'!E62</f>
        <v>0</v>
      </c>
      <c r="E20" s="2"/>
      <c r="F20" s="113">
        <f t="shared" si="15"/>
        <v>0</v>
      </c>
      <c r="G20" s="110">
        <f t="shared" si="16"/>
        <v>0</v>
      </c>
      <c r="H20" s="110">
        <f t="shared" si="17"/>
        <v>0</v>
      </c>
      <c r="I20" s="114">
        <f t="shared" si="4"/>
        <v>0</v>
      </c>
      <c r="J20" s="13" t="s">
        <v>245</v>
      </c>
      <c r="K20" s="115">
        <f t="shared" si="5"/>
        <v>0</v>
      </c>
      <c r="L20" s="13" t="s">
        <v>246</v>
      </c>
      <c r="M20" s="114">
        <v>1</v>
      </c>
      <c r="N20" s="13" t="s">
        <v>247</v>
      </c>
      <c r="O20" s="114">
        <f t="shared" si="6"/>
        <v>0</v>
      </c>
      <c r="P20" s="13" t="s">
        <v>248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16"/>
      <c r="B21" s="116"/>
      <c r="C21" s="119"/>
      <c r="D21" s="120">
        <f>SUM(D3:D20)</f>
        <v>739.35</v>
      </c>
      <c r="E21" s="60"/>
      <c r="F21" s="121"/>
      <c r="G21" s="60"/>
      <c r="H21" s="60"/>
      <c r="I21" s="122"/>
      <c r="J21" s="119"/>
      <c r="K21" s="122"/>
      <c r="L21" s="119"/>
      <c r="M21" s="122"/>
      <c r="N21" s="119"/>
      <c r="O21" s="122"/>
      <c r="P21" s="11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2.5" customHeight="1" x14ac:dyDescent="0.2">
      <c r="A22" s="341" t="s">
        <v>249</v>
      </c>
      <c r="B22" s="292"/>
      <c r="C22" s="292"/>
      <c r="D22" s="289"/>
      <c r="E22" s="110" t="e">
        <f>SUM(E3:E16)</f>
        <v>#DIV/0!</v>
      </c>
      <c r="F22" s="123" t="e">
        <f>TRUNC(E22,0)</f>
        <v>#DIV/0!</v>
      </c>
      <c r="G22" s="110" t="e">
        <f>E22-F22</f>
        <v>#DIV/0!</v>
      </c>
      <c r="H22" s="110" t="e">
        <f>G22*$C$24*60</f>
        <v>#DIV/0!</v>
      </c>
      <c r="I22" s="124" t="e">
        <f>F22</f>
        <v>#DIV/0!</v>
      </c>
      <c r="J22" s="13" t="s">
        <v>245</v>
      </c>
      <c r="K22" s="115">
        <f>$C$24</f>
        <v>0</v>
      </c>
      <c r="L22" s="13" t="s">
        <v>246</v>
      </c>
      <c r="M22" s="124">
        <v>1</v>
      </c>
      <c r="N22" s="13" t="s">
        <v>247</v>
      </c>
      <c r="O22" s="124" t="e">
        <f>H22</f>
        <v>#DIV/0!</v>
      </c>
      <c r="P22" s="13" t="s">
        <v>248</v>
      </c>
      <c r="Q22" s="125" t="s">
        <v>250</v>
      </c>
      <c r="R22" s="50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16"/>
      <c r="B23" s="116"/>
      <c r="C23" s="116"/>
      <c r="D23" s="126"/>
      <c r="E23" s="2"/>
      <c r="F23" s="127"/>
      <c r="G23" s="2"/>
      <c r="H23" s="2"/>
      <c r="I23" s="128"/>
      <c r="J23" s="119"/>
      <c r="K23" s="122"/>
      <c r="L23" s="119"/>
      <c r="M23" s="122"/>
      <c r="N23" s="119"/>
      <c r="O23" s="128"/>
      <c r="P23" s="11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2">
      <c r="A24" s="342" t="s">
        <v>251</v>
      </c>
      <c r="B24" s="316"/>
      <c r="C24" s="129">
        <f>'Aba Carregamento'!B81</f>
        <v>0</v>
      </c>
      <c r="D24" s="130" t="s">
        <v>252</v>
      </c>
      <c r="E24" s="334" t="s">
        <v>253</v>
      </c>
      <c r="F24" s="318"/>
      <c r="G24" s="318"/>
      <c r="H24" s="318"/>
      <c r="I24" s="318"/>
      <c r="J24" s="318"/>
      <c r="K24" s="316"/>
      <c r="L24" s="335" t="e">
        <f>F22+G22</f>
        <v>#DIV/0!</v>
      </c>
      <c r="M24" s="318"/>
      <c r="N24" s="3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31"/>
      <c r="B25" s="131"/>
      <c r="C25" s="132"/>
      <c r="D25" s="132"/>
      <c r="E25" s="132"/>
      <c r="F25" s="128"/>
      <c r="G25" s="132"/>
      <c r="H25" s="13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">
      <c r="A26" s="343" t="s">
        <v>254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">
      <c r="A27" s="343" t="s">
        <v>255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35.25" customHeight="1" x14ac:dyDescent="0.2">
      <c r="A28" s="344" t="s">
        <v>256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133"/>
      <c r="R28" s="133"/>
      <c r="S28" s="133"/>
      <c r="T28" s="128"/>
      <c r="U28" s="128"/>
      <c r="V28" s="128"/>
      <c r="W28" s="128"/>
      <c r="X28" s="128"/>
      <c r="Y28" s="128"/>
      <c r="Z28" s="128"/>
    </row>
    <row r="29" spans="1:26" ht="36" customHeight="1" x14ac:dyDescent="0.2">
      <c r="A29" s="344" t="s">
        <v>270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133"/>
      <c r="R29" s="133"/>
      <c r="S29" s="133"/>
      <c r="T29" s="128"/>
      <c r="U29" s="128"/>
      <c r="V29" s="128"/>
      <c r="W29" s="128"/>
      <c r="X29" s="128"/>
      <c r="Y29" s="128"/>
      <c r="Z29" s="128"/>
    </row>
    <row r="30" spans="1:26" ht="36" customHeight="1" x14ac:dyDescent="0.2">
      <c r="A30" s="344" t="s">
        <v>271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133"/>
      <c r="R30" s="133"/>
      <c r="S30" s="133"/>
      <c r="T30" s="128"/>
      <c r="U30" s="128"/>
      <c r="V30" s="128"/>
      <c r="W30" s="128"/>
      <c r="X30" s="128"/>
      <c r="Y30" s="128"/>
      <c r="Z30" s="128"/>
    </row>
    <row r="31" spans="1:26" ht="18.75" customHeight="1" x14ac:dyDescent="0.2">
      <c r="A31" s="344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133"/>
      <c r="R31" s="133"/>
      <c r="S31" s="133"/>
      <c r="T31" s="128"/>
      <c r="U31" s="128"/>
      <c r="V31" s="128"/>
      <c r="W31" s="128"/>
      <c r="X31" s="128"/>
      <c r="Y31" s="128"/>
      <c r="Z31" s="128"/>
    </row>
    <row r="32" spans="1:26" ht="18.75" customHeight="1" x14ac:dyDescent="0.2">
      <c r="A32" s="345" t="s">
        <v>259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133"/>
      <c r="R32" s="133"/>
      <c r="S32" s="133"/>
      <c r="T32" s="128"/>
      <c r="U32" s="128"/>
      <c r="V32" s="128"/>
      <c r="W32" s="128"/>
      <c r="X32" s="128"/>
      <c r="Y32" s="128"/>
      <c r="Z32" s="128"/>
    </row>
    <row r="33" spans="1:26" ht="36" customHeight="1" x14ac:dyDescent="0.2">
      <c r="A33" s="345" t="s">
        <v>260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133"/>
      <c r="R33" s="133"/>
      <c r="S33" s="133"/>
      <c r="T33" s="128"/>
      <c r="U33" s="128"/>
      <c r="V33" s="128"/>
      <c r="W33" s="128"/>
      <c r="X33" s="128"/>
      <c r="Y33" s="128"/>
      <c r="Z33" s="128"/>
    </row>
    <row r="34" spans="1:26" ht="12.75" customHeight="1" x14ac:dyDescent="0.2">
      <c r="A34" s="348" t="s">
        <v>261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133"/>
      <c r="R34" s="133"/>
      <c r="S34" s="133"/>
      <c r="T34" s="128"/>
      <c r="U34" s="128"/>
      <c r="V34" s="128"/>
      <c r="W34" s="128"/>
      <c r="X34" s="128"/>
      <c r="Y34" s="128"/>
      <c r="Z34" s="128"/>
    </row>
    <row r="35" spans="1:26" ht="12.75" customHeight="1" x14ac:dyDescent="0.2">
      <c r="A35" s="349" t="s">
        <v>262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133"/>
      <c r="R35" s="133"/>
      <c r="S35" s="133"/>
      <c r="T35" s="128"/>
      <c r="U35" s="128"/>
      <c r="V35" s="128"/>
      <c r="W35" s="128"/>
      <c r="X35" s="128"/>
      <c r="Y35" s="128"/>
      <c r="Z35" s="128"/>
    </row>
    <row r="36" spans="1:26" ht="36" customHeight="1" x14ac:dyDescent="0.2">
      <c r="A36" s="350" t="s">
        <v>263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7"/>
      <c r="Q36" s="133"/>
      <c r="R36" s="133"/>
      <c r="S36" s="133"/>
      <c r="T36" s="128"/>
      <c r="U36" s="128"/>
      <c r="V36" s="128"/>
      <c r="W36" s="128"/>
      <c r="X36" s="128"/>
      <c r="Y36" s="128"/>
      <c r="Z36" s="128"/>
    </row>
    <row r="37" spans="1:26" ht="12.75" customHeight="1" x14ac:dyDescent="0.2">
      <c r="A37" s="133"/>
      <c r="B37" s="133"/>
      <c r="C37" s="133"/>
      <c r="D37" s="133"/>
      <c r="E37" s="134"/>
      <c r="F37" s="133"/>
      <c r="G37" s="134"/>
      <c r="H37" s="134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28"/>
      <c r="U37" s="128"/>
      <c r="V37" s="128"/>
      <c r="W37" s="128"/>
      <c r="X37" s="128"/>
      <c r="Y37" s="128"/>
      <c r="Z37" s="128"/>
    </row>
    <row r="38" spans="1:26" ht="12.75" customHeight="1" x14ac:dyDescent="0.2">
      <c r="A38" s="133"/>
      <c r="B38" s="133"/>
      <c r="C38" s="133"/>
      <c r="D38" s="133"/>
      <c r="E38" s="134"/>
      <c r="F38" s="133"/>
      <c r="G38" s="134"/>
      <c r="H38" s="134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28"/>
      <c r="U38" s="128"/>
      <c r="V38" s="128"/>
      <c r="W38" s="128"/>
      <c r="X38" s="128"/>
      <c r="Y38" s="128"/>
      <c r="Z38" s="128"/>
    </row>
    <row r="39" spans="1:26" ht="18.75" customHeight="1" x14ac:dyDescent="0.2">
      <c r="A39" s="346" t="s">
        <v>264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128"/>
      <c r="U39" s="128"/>
      <c r="V39" s="128"/>
      <c r="W39" s="128"/>
      <c r="X39" s="128"/>
      <c r="Y39" s="128"/>
      <c r="Z39" s="128"/>
    </row>
    <row r="40" spans="1:26" ht="12.75" customHeight="1" x14ac:dyDescent="0.2">
      <c r="A40" s="133"/>
      <c r="B40" s="133"/>
      <c r="C40" s="133"/>
      <c r="D40" s="133"/>
      <c r="E40" s="134"/>
      <c r="F40" s="133"/>
      <c r="G40" s="134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28"/>
      <c r="U40" s="128"/>
      <c r="V40" s="128"/>
      <c r="W40" s="128"/>
      <c r="X40" s="128"/>
      <c r="Y40" s="128"/>
      <c r="Z40" s="128"/>
    </row>
    <row r="41" spans="1:26" ht="36" customHeight="1" x14ac:dyDescent="0.2">
      <c r="A41" s="346" t="s">
        <v>265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128"/>
      <c r="U41" s="128"/>
      <c r="V41" s="128"/>
      <c r="W41" s="128"/>
      <c r="X41" s="128"/>
      <c r="Y41" s="128"/>
      <c r="Z41" s="128"/>
    </row>
    <row r="42" spans="1:26" ht="12.75" customHeight="1" x14ac:dyDescent="0.2">
      <c r="A42" s="133"/>
      <c r="B42" s="133"/>
      <c r="C42" s="133"/>
      <c r="D42" s="133"/>
      <c r="E42" s="134"/>
      <c r="F42" s="133"/>
      <c r="G42" s="134"/>
      <c r="H42" s="134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28"/>
      <c r="U42" s="128"/>
      <c r="V42" s="128"/>
      <c r="W42" s="128"/>
      <c r="X42" s="128"/>
      <c r="Y42" s="128"/>
      <c r="Z42" s="128"/>
    </row>
    <row r="43" spans="1:26" ht="18.75" customHeight="1" x14ac:dyDescent="0.2">
      <c r="A43" s="346" t="s">
        <v>266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128"/>
      <c r="U43" s="128"/>
      <c r="V43" s="128"/>
      <c r="W43" s="128"/>
      <c r="X43" s="128"/>
      <c r="Y43" s="128"/>
      <c r="Z43" s="128"/>
    </row>
    <row r="44" spans="1:26" ht="18.75" customHeight="1" x14ac:dyDescent="0.2">
      <c r="A44" s="346" t="s">
        <v>267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133"/>
      <c r="Q44" s="133"/>
      <c r="R44" s="133"/>
      <c r="S44" s="133"/>
      <c r="T44" s="128"/>
      <c r="U44" s="128"/>
      <c r="V44" s="128"/>
      <c r="W44" s="128"/>
      <c r="X44" s="128"/>
      <c r="Y44" s="128"/>
      <c r="Z44" s="128"/>
    </row>
    <row r="45" spans="1:26" ht="35.25" customHeight="1" x14ac:dyDescent="0.2">
      <c r="A45" s="347" t="s">
        <v>268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133"/>
      <c r="R45" s="133"/>
      <c r="S45" s="133"/>
      <c r="T45" s="128"/>
      <c r="U45" s="128"/>
      <c r="V45" s="128"/>
      <c r="W45" s="128"/>
      <c r="X45" s="128"/>
      <c r="Y45" s="128"/>
      <c r="Z45" s="128"/>
    </row>
    <row r="46" spans="1:26" ht="12.75" customHeight="1" x14ac:dyDescent="0.2">
      <c r="A46" s="1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31:P31"/>
    <mergeCell ref="A32:P32"/>
    <mergeCell ref="A44:O44"/>
    <mergeCell ref="A45:P45"/>
    <mergeCell ref="A33:P33"/>
    <mergeCell ref="A34:P34"/>
    <mergeCell ref="A35:P35"/>
    <mergeCell ref="A36:P36"/>
    <mergeCell ref="A39:S39"/>
    <mergeCell ref="A41:S41"/>
    <mergeCell ref="A43:S43"/>
    <mergeCell ref="A26:P26"/>
    <mergeCell ref="A27:P27"/>
    <mergeCell ref="A28:P28"/>
    <mergeCell ref="A29:P29"/>
    <mergeCell ref="A30:P30"/>
    <mergeCell ref="E24:K24"/>
    <mergeCell ref="L24:N24"/>
    <mergeCell ref="A1:P1"/>
    <mergeCell ref="I2:P2"/>
    <mergeCell ref="A3:A9"/>
    <mergeCell ref="A10:A15"/>
    <mergeCell ref="A16:A18"/>
    <mergeCell ref="A22:D22"/>
    <mergeCell ref="A24:B24"/>
  </mergeCells>
  <printOptions horizontalCentered="1"/>
  <pageMargins left="0.39305555555555599" right="0.39305555555555599" top="0.39305555555555599" bottom="0.39305555555555599" header="0" footer="0"/>
  <pageSetup paperSize="9" scale="6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Z1000"/>
  <sheetViews>
    <sheetView showGridLines="0" topLeftCell="A130" workbookViewId="0">
      <selection sqref="A1:J1"/>
    </sheetView>
  </sheetViews>
  <sheetFormatPr defaultColWidth="12.625" defaultRowHeight="15" customHeight="1" x14ac:dyDescent="0.2"/>
  <cols>
    <col min="1" max="1" width="13.375" customWidth="1"/>
    <col min="2" max="2" width="9.75" customWidth="1"/>
    <col min="3" max="3" width="11.625" customWidth="1"/>
    <col min="4" max="4" width="8.875" customWidth="1"/>
    <col min="5" max="5" width="10.875" customWidth="1"/>
    <col min="6" max="6" width="9.875" customWidth="1"/>
    <col min="7" max="7" width="8.625" customWidth="1"/>
    <col min="8" max="8" width="11.75" customWidth="1"/>
    <col min="9" max="9" width="12.75" customWidth="1"/>
    <col min="10" max="10" width="10.125" customWidth="1"/>
    <col min="11" max="11" width="9.75" hidden="1" customWidth="1"/>
    <col min="12" max="12" width="6.5" hidden="1" customWidth="1"/>
    <col min="13" max="13" width="5.75" hidden="1" customWidth="1"/>
    <col min="14" max="14" width="8" hidden="1" customWidth="1"/>
    <col min="15" max="15" width="8.125" hidden="1" customWidth="1"/>
    <col min="16" max="16" width="8" hidden="1" customWidth="1"/>
    <col min="17" max="26" width="8" customWidth="1"/>
  </cols>
  <sheetData>
    <row r="1" spans="1:26" ht="24" customHeight="1" x14ac:dyDescent="0.2">
      <c r="A1" s="356" t="s">
        <v>272</v>
      </c>
      <c r="B1" s="318"/>
      <c r="C1" s="318"/>
      <c r="D1" s="318"/>
      <c r="E1" s="318"/>
      <c r="F1" s="318"/>
      <c r="G1" s="318"/>
      <c r="H1" s="318"/>
      <c r="I1" s="318"/>
      <c r="J1" s="31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68.25" customHeight="1" x14ac:dyDescent="0.2">
      <c r="A2" s="357" t="s">
        <v>273</v>
      </c>
      <c r="B2" s="318"/>
      <c r="C2" s="318"/>
      <c r="D2" s="318"/>
      <c r="E2" s="318"/>
      <c r="F2" s="318"/>
      <c r="G2" s="318"/>
      <c r="H2" s="318"/>
      <c r="I2" s="318"/>
      <c r="J2" s="316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25" customHeight="1" x14ac:dyDescent="0.2">
      <c r="A3" s="358" t="s">
        <v>274</v>
      </c>
      <c r="B3" s="318"/>
      <c r="C3" s="318"/>
      <c r="D3" s="318"/>
      <c r="E3" s="318"/>
      <c r="F3" s="318"/>
      <c r="G3" s="316"/>
      <c r="H3" s="359" t="str">
        <f>'Aba Carregamento'!B11</f>
        <v>23368.000267/2021-76</v>
      </c>
      <c r="I3" s="318"/>
      <c r="J3" s="316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25" customHeight="1" x14ac:dyDescent="0.2">
      <c r="A4" s="358" t="s">
        <v>275</v>
      </c>
      <c r="B4" s="318"/>
      <c r="C4" s="318"/>
      <c r="D4" s="318"/>
      <c r="E4" s="318"/>
      <c r="F4" s="318"/>
      <c r="G4" s="316"/>
      <c r="H4" s="360" t="str">
        <f>'Aba Carregamento'!B12</f>
        <v>17/2021</v>
      </c>
      <c r="I4" s="318"/>
      <c r="J4" s="31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25" customHeight="1" x14ac:dyDescent="0.2">
      <c r="A5" s="136" t="s">
        <v>276</v>
      </c>
      <c r="B5" s="137"/>
      <c r="C5" s="137"/>
      <c r="D5" s="137"/>
      <c r="E5" s="137"/>
      <c r="F5" s="137"/>
      <c r="G5" s="137"/>
      <c r="H5" s="361">
        <f ca="1">NOW()</f>
        <v>44489.18239652778</v>
      </c>
      <c r="I5" s="318"/>
      <c r="J5" s="316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5.75" customHeight="1" x14ac:dyDescent="0.2">
      <c r="A6" s="362" t="s">
        <v>277</v>
      </c>
      <c r="B6" s="318"/>
      <c r="C6" s="318"/>
      <c r="D6" s="318"/>
      <c r="E6" s="318"/>
      <c r="F6" s="318"/>
      <c r="G6" s="318"/>
      <c r="H6" s="318"/>
      <c r="I6" s="318"/>
      <c r="J6" s="316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25" customHeight="1" x14ac:dyDescent="0.2">
      <c r="A7" s="138" t="s">
        <v>278</v>
      </c>
      <c r="B7" s="358" t="s">
        <v>279</v>
      </c>
      <c r="C7" s="318"/>
      <c r="D7" s="318"/>
      <c r="E7" s="318"/>
      <c r="F7" s="318"/>
      <c r="G7" s="316"/>
      <c r="H7" s="363">
        <f ca="1">TODAY()</f>
        <v>44489</v>
      </c>
      <c r="I7" s="318"/>
      <c r="J7" s="316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25" customHeight="1" x14ac:dyDescent="0.2">
      <c r="A8" s="138" t="s">
        <v>280</v>
      </c>
      <c r="B8" s="358" t="s">
        <v>281</v>
      </c>
      <c r="C8" s="318"/>
      <c r="D8" s="318"/>
      <c r="E8" s="318"/>
      <c r="F8" s="318"/>
      <c r="G8" s="316"/>
      <c r="H8" s="360" t="str">
        <f>'Aba Carregamento'!B13</f>
        <v>Porto Alegre/ RS</v>
      </c>
      <c r="I8" s="318"/>
      <c r="J8" s="316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25" customHeight="1" x14ac:dyDescent="0.2">
      <c r="A9" s="138" t="s">
        <v>282</v>
      </c>
      <c r="B9" s="358" t="s">
        <v>283</v>
      </c>
      <c r="C9" s="318"/>
      <c r="D9" s="318"/>
      <c r="E9" s="318"/>
      <c r="F9" s="318"/>
      <c r="G9" s="316"/>
      <c r="H9" s="363" t="str">
        <f>'Aba Carregamento'!B71</f>
        <v>RS 000051/2021</v>
      </c>
      <c r="I9" s="318"/>
      <c r="J9" s="316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25" customHeight="1" x14ac:dyDescent="0.2">
      <c r="A10" s="138" t="s">
        <v>284</v>
      </c>
      <c r="B10" s="358" t="s">
        <v>285</v>
      </c>
      <c r="C10" s="318"/>
      <c r="D10" s="318"/>
      <c r="E10" s="318"/>
      <c r="F10" s="318"/>
      <c r="G10" s="316"/>
      <c r="H10" s="359">
        <v>20</v>
      </c>
      <c r="I10" s="318"/>
      <c r="J10" s="316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5.75" customHeight="1" x14ac:dyDescent="0.2">
      <c r="A11" s="364" t="s">
        <v>286</v>
      </c>
      <c r="B11" s="318"/>
      <c r="C11" s="318"/>
      <c r="D11" s="318"/>
      <c r="E11" s="318"/>
      <c r="F11" s="318"/>
      <c r="G11" s="318"/>
      <c r="H11" s="318"/>
      <c r="I11" s="318"/>
      <c r="J11" s="31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51" customHeight="1" x14ac:dyDescent="0.2">
      <c r="A12" s="365" t="s">
        <v>287</v>
      </c>
      <c r="B12" s="318"/>
      <c r="C12" s="318"/>
      <c r="D12" s="318"/>
      <c r="E12" s="318"/>
      <c r="F12" s="316"/>
      <c r="G12" s="365" t="s">
        <v>288</v>
      </c>
      <c r="H12" s="316"/>
      <c r="I12" s="365" t="s">
        <v>289</v>
      </c>
      <c r="J12" s="31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25" customHeight="1" x14ac:dyDescent="0.2">
      <c r="A13" s="353" t="s">
        <v>290</v>
      </c>
      <c r="B13" s="318"/>
      <c r="C13" s="318"/>
      <c r="D13" s="318"/>
      <c r="E13" s="318"/>
      <c r="F13" s="316"/>
      <c r="G13" s="354" t="s">
        <v>291</v>
      </c>
      <c r="H13" s="316"/>
      <c r="I13" s="352">
        <f>'Aba Carregamento'!E25</f>
        <v>1033.8399999999999</v>
      </c>
      <c r="J13" s="31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25" customHeight="1" x14ac:dyDescent="0.2">
      <c r="A14" s="353" t="s">
        <v>292</v>
      </c>
      <c r="B14" s="318"/>
      <c r="C14" s="318"/>
      <c r="D14" s="318"/>
      <c r="E14" s="318"/>
      <c r="F14" s="316"/>
      <c r="G14" s="354" t="s">
        <v>291</v>
      </c>
      <c r="H14" s="316"/>
      <c r="I14" s="352">
        <f>'Aba Carregamento'!E26</f>
        <v>9507.89</v>
      </c>
      <c r="J14" s="316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25" customHeight="1" x14ac:dyDescent="0.2">
      <c r="A15" s="353" t="s">
        <v>293</v>
      </c>
      <c r="B15" s="318"/>
      <c r="C15" s="318"/>
      <c r="D15" s="318"/>
      <c r="E15" s="318"/>
      <c r="F15" s="316"/>
      <c r="G15" s="354" t="s">
        <v>291</v>
      </c>
      <c r="H15" s="316"/>
      <c r="I15" s="352">
        <f>'Aba Carregamento'!E27</f>
        <v>2609.1799999999998</v>
      </c>
      <c r="J15" s="31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25" customHeight="1" x14ac:dyDescent="0.2">
      <c r="A16" s="353" t="s">
        <v>294</v>
      </c>
      <c r="B16" s="318"/>
      <c r="C16" s="318"/>
      <c r="D16" s="318"/>
      <c r="E16" s="318"/>
      <c r="F16" s="316"/>
      <c r="G16" s="354" t="s">
        <v>291</v>
      </c>
      <c r="H16" s="316"/>
      <c r="I16" s="352">
        <f>'Aba Carregamento'!E28</f>
        <v>4812.8</v>
      </c>
      <c r="J16" s="316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25" customHeight="1" x14ac:dyDescent="0.2">
      <c r="A17" s="353" t="s">
        <v>295</v>
      </c>
      <c r="B17" s="318"/>
      <c r="C17" s="318"/>
      <c r="D17" s="318"/>
      <c r="E17" s="318"/>
      <c r="F17" s="316"/>
      <c r="G17" s="354" t="s">
        <v>291</v>
      </c>
      <c r="H17" s="316"/>
      <c r="I17" s="352">
        <f>'Aba Carregamento'!E29</f>
        <v>0</v>
      </c>
      <c r="J17" s="316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25" customHeight="1" x14ac:dyDescent="0.2">
      <c r="A18" s="353" t="s">
        <v>296</v>
      </c>
      <c r="B18" s="318"/>
      <c r="C18" s="318"/>
      <c r="D18" s="318"/>
      <c r="E18" s="318"/>
      <c r="F18" s="316"/>
      <c r="G18" s="354" t="s">
        <v>291</v>
      </c>
      <c r="H18" s="316"/>
      <c r="I18" s="352">
        <f>'Aba Carregamento'!E30</f>
        <v>909.25</v>
      </c>
      <c r="J18" s="316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25" customHeight="1" x14ac:dyDescent="0.2">
      <c r="A19" s="355" t="s">
        <v>297</v>
      </c>
      <c r="B19" s="318"/>
      <c r="C19" s="318"/>
      <c r="D19" s="318"/>
      <c r="E19" s="318"/>
      <c r="F19" s="316"/>
      <c r="G19" s="351" t="s">
        <v>291</v>
      </c>
      <c r="H19" s="316"/>
      <c r="I19" s="352">
        <v>0</v>
      </c>
      <c r="J19" s="316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25" customHeight="1" x14ac:dyDescent="0.2">
      <c r="A20" s="366" t="s">
        <v>298</v>
      </c>
      <c r="B20" s="318"/>
      <c r="C20" s="318"/>
      <c r="D20" s="318"/>
      <c r="E20" s="318"/>
      <c r="F20" s="318"/>
      <c r="G20" s="318"/>
      <c r="H20" s="316"/>
      <c r="I20" s="367">
        <v>18872.96</v>
      </c>
      <c r="J20" s="316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2.75" customHeight="1" x14ac:dyDescent="0.2">
      <c r="A21" s="368"/>
      <c r="B21" s="318"/>
      <c r="C21" s="318"/>
      <c r="D21" s="318"/>
      <c r="E21" s="318"/>
      <c r="F21" s="318"/>
      <c r="G21" s="318"/>
      <c r="H21" s="318"/>
      <c r="I21" s="318"/>
      <c r="J21" s="316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25" customHeight="1" x14ac:dyDescent="0.2">
      <c r="A22" s="353" t="s">
        <v>299</v>
      </c>
      <c r="B22" s="318"/>
      <c r="C22" s="318"/>
      <c r="D22" s="318"/>
      <c r="E22" s="318"/>
      <c r="F22" s="318"/>
      <c r="G22" s="316"/>
      <c r="H22" s="354" t="s">
        <v>291</v>
      </c>
      <c r="I22" s="316"/>
      <c r="J22" s="139">
        <f>'Aba Carregamento'!E31</f>
        <v>741.56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25" customHeight="1" x14ac:dyDescent="0.2">
      <c r="A23" s="353" t="s">
        <v>300</v>
      </c>
      <c r="B23" s="318"/>
      <c r="C23" s="318"/>
      <c r="D23" s="318"/>
      <c r="E23" s="318"/>
      <c r="F23" s="318"/>
      <c r="G23" s="316"/>
      <c r="H23" s="369" t="s">
        <v>291</v>
      </c>
      <c r="I23" s="316"/>
      <c r="J23" s="139">
        <f>'Aba Carregamento'!E32</f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25" customHeight="1" x14ac:dyDescent="0.2">
      <c r="A24" s="353" t="s">
        <v>301</v>
      </c>
      <c r="B24" s="318"/>
      <c r="C24" s="318"/>
      <c r="D24" s="318"/>
      <c r="E24" s="318"/>
      <c r="F24" s="318"/>
      <c r="G24" s="316"/>
      <c r="H24" s="354" t="s">
        <v>291</v>
      </c>
      <c r="I24" s="316"/>
      <c r="J24" s="139">
        <f>'Aba Carregamento'!E33</f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25" customHeight="1" x14ac:dyDescent="0.2">
      <c r="A25" s="353" t="s">
        <v>302</v>
      </c>
      <c r="B25" s="318"/>
      <c r="C25" s="318"/>
      <c r="D25" s="318"/>
      <c r="E25" s="318"/>
      <c r="F25" s="318"/>
      <c r="G25" s="316"/>
      <c r="H25" s="369" t="s">
        <v>291</v>
      </c>
      <c r="I25" s="316"/>
      <c r="J25" s="139">
        <f>'Aba Carregamento'!E34</f>
        <v>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25" customHeight="1" x14ac:dyDescent="0.2">
      <c r="A26" s="353" t="s">
        <v>303</v>
      </c>
      <c r="B26" s="318"/>
      <c r="C26" s="318"/>
      <c r="D26" s="318"/>
      <c r="E26" s="318"/>
      <c r="F26" s="318"/>
      <c r="G26" s="316"/>
      <c r="H26" s="369" t="s">
        <v>291</v>
      </c>
      <c r="I26" s="316"/>
      <c r="J26" s="139">
        <f>'Aba Carregamento'!E35</f>
        <v>494.55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4.25" customHeight="1" x14ac:dyDescent="0.2">
      <c r="A27" s="353" t="s">
        <v>304</v>
      </c>
      <c r="B27" s="318"/>
      <c r="C27" s="318"/>
      <c r="D27" s="318"/>
      <c r="E27" s="318"/>
      <c r="F27" s="318"/>
      <c r="G27" s="316"/>
      <c r="H27" s="354" t="s">
        <v>291</v>
      </c>
      <c r="I27" s="316"/>
      <c r="J27" s="139">
        <f>'Aba Carregamento'!E36</f>
        <v>0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4.25" customHeight="1" x14ac:dyDescent="0.2">
      <c r="A28" s="366" t="s">
        <v>305</v>
      </c>
      <c r="B28" s="318"/>
      <c r="C28" s="318"/>
      <c r="D28" s="318"/>
      <c r="E28" s="318"/>
      <c r="F28" s="318"/>
      <c r="G28" s="318"/>
      <c r="H28" s="318"/>
      <c r="I28" s="316"/>
      <c r="J28" s="140">
        <f>ROUND(SUM(J22:J27),2)</f>
        <v>1236.1099999999999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 customHeight="1" x14ac:dyDescent="0.2">
      <c r="A29" s="368"/>
      <c r="B29" s="318"/>
      <c r="C29" s="318"/>
      <c r="D29" s="318"/>
      <c r="E29" s="318"/>
      <c r="F29" s="318"/>
      <c r="G29" s="318"/>
      <c r="H29" s="318"/>
      <c r="I29" s="318"/>
      <c r="J29" s="31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4.25" customHeight="1" x14ac:dyDescent="0.2">
      <c r="A30" s="353" t="s">
        <v>306</v>
      </c>
      <c r="B30" s="318"/>
      <c r="C30" s="318"/>
      <c r="D30" s="318"/>
      <c r="E30" s="318"/>
      <c r="F30" s="318"/>
      <c r="G30" s="316"/>
      <c r="H30" s="354" t="s">
        <v>291</v>
      </c>
      <c r="I30" s="316"/>
      <c r="J30" s="139">
        <f>'Aba Carregamento'!E37</f>
        <v>1163.3399999999999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4.25" customHeight="1" x14ac:dyDescent="0.2">
      <c r="A31" s="353" t="s">
        <v>307</v>
      </c>
      <c r="B31" s="318"/>
      <c r="C31" s="318"/>
      <c r="D31" s="318"/>
      <c r="E31" s="318"/>
      <c r="F31" s="318"/>
      <c r="G31" s="316"/>
      <c r="H31" s="354" t="s">
        <v>291</v>
      </c>
      <c r="I31" s="316"/>
      <c r="J31" s="139">
        <f>'Aba Carregamento'!E38</f>
        <v>760.32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25" customHeight="1" x14ac:dyDescent="0.2">
      <c r="A32" s="353" t="s">
        <v>308</v>
      </c>
      <c r="B32" s="318"/>
      <c r="C32" s="318"/>
      <c r="D32" s="318"/>
      <c r="E32" s="318"/>
      <c r="F32" s="318"/>
      <c r="G32" s="316"/>
      <c r="H32" s="354" t="s">
        <v>291</v>
      </c>
      <c r="I32" s="316"/>
      <c r="J32" s="139">
        <f>'Aba Carregamento'!E39</f>
        <v>1863.68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 customHeight="1" x14ac:dyDescent="0.2">
      <c r="A33" s="381" t="s">
        <v>309</v>
      </c>
      <c r="B33" s="318"/>
      <c r="C33" s="318"/>
      <c r="D33" s="318"/>
      <c r="E33" s="318"/>
      <c r="F33" s="318"/>
      <c r="G33" s="318"/>
      <c r="H33" s="318"/>
      <c r="I33" s="316"/>
      <c r="J33" s="140">
        <f>ROUND(SUM(J30:J32),2)</f>
        <v>3787.34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 customHeight="1" x14ac:dyDescent="0.2">
      <c r="A34" s="368"/>
      <c r="B34" s="318"/>
      <c r="C34" s="318"/>
      <c r="D34" s="318"/>
      <c r="E34" s="318"/>
      <c r="F34" s="318"/>
      <c r="G34" s="318"/>
      <c r="H34" s="318"/>
      <c r="I34" s="318"/>
      <c r="J34" s="316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25" customHeight="1" x14ac:dyDescent="0.2">
      <c r="A35" s="382" t="s">
        <v>310</v>
      </c>
      <c r="B35" s="318"/>
      <c r="C35" s="318"/>
      <c r="D35" s="318"/>
      <c r="E35" s="318"/>
      <c r="F35" s="318"/>
      <c r="G35" s="316"/>
      <c r="H35" s="354" t="s">
        <v>291</v>
      </c>
      <c r="I35" s="316"/>
      <c r="J35" s="139">
        <f>'Aba Carregamento'!E40</f>
        <v>0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25" customHeight="1" x14ac:dyDescent="0.2">
      <c r="A36" s="366" t="s">
        <v>311</v>
      </c>
      <c r="B36" s="318"/>
      <c r="C36" s="318"/>
      <c r="D36" s="318"/>
      <c r="E36" s="318"/>
      <c r="F36" s="318"/>
      <c r="G36" s="318"/>
      <c r="H36" s="318"/>
      <c r="I36" s="316"/>
      <c r="J36" s="140">
        <f>J35</f>
        <v>0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 customHeight="1" x14ac:dyDescent="0.2">
      <c r="A37" s="368"/>
      <c r="B37" s="318"/>
      <c r="C37" s="318"/>
      <c r="D37" s="318"/>
      <c r="E37" s="318"/>
      <c r="F37" s="318"/>
      <c r="G37" s="318"/>
      <c r="H37" s="318"/>
      <c r="I37" s="318"/>
      <c r="J37" s="316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 customHeight="1" x14ac:dyDescent="0.2">
      <c r="A38" s="382" t="s">
        <v>312</v>
      </c>
      <c r="B38" s="318"/>
      <c r="C38" s="318"/>
      <c r="D38" s="318"/>
      <c r="E38" s="318"/>
      <c r="F38" s="318"/>
      <c r="G38" s="316"/>
      <c r="H38" s="369" t="s">
        <v>291</v>
      </c>
      <c r="I38" s="316"/>
      <c r="J38" s="139">
        <f>'Aba Carregamento'!E41</f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 x14ac:dyDescent="0.2">
      <c r="A39" s="383" t="s">
        <v>313</v>
      </c>
      <c r="B39" s="318"/>
      <c r="C39" s="318"/>
      <c r="D39" s="318"/>
      <c r="E39" s="318"/>
      <c r="F39" s="318"/>
      <c r="G39" s="318"/>
      <c r="H39" s="318"/>
      <c r="I39" s="316"/>
      <c r="J39" s="140">
        <f>J38</f>
        <v>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 customHeight="1" x14ac:dyDescent="0.2">
      <c r="A40" s="368"/>
      <c r="B40" s="318"/>
      <c r="C40" s="318"/>
      <c r="D40" s="318"/>
      <c r="E40" s="318"/>
      <c r="F40" s="318"/>
      <c r="G40" s="318"/>
      <c r="H40" s="318"/>
      <c r="I40" s="318"/>
      <c r="J40" s="316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 customHeight="1" x14ac:dyDescent="0.2">
      <c r="A41" s="382" t="s">
        <v>314</v>
      </c>
      <c r="B41" s="318"/>
      <c r="C41" s="318"/>
      <c r="D41" s="318"/>
      <c r="E41" s="318"/>
      <c r="F41" s="318"/>
      <c r="G41" s="316"/>
      <c r="H41" s="369" t="s">
        <v>291</v>
      </c>
      <c r="I41" s="316"/>
      <c r="J41" s="139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 customHeight="1" x14ac:dyDescent="0.2">
      <c r="A42" s="381" t="s">
        <v>315</v>
      </c>
      <c r="B42" s="318"/>
      <c r="C42" s="318"/>
      <c r="D42" s="318"/>
      <c r="E42" s="318"/>
      <c r="F42" s="318"/>
      <c r="G42" s="318"/>
      <c r="H42" s="318"/>
      <c r="I42" s="316"/>
      <c r="J42" s="140">
        <f>J41</f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 customHeight="1" x14ac:dyDescent="0.2">
      <c r="A43" s="368"/>
      <c r="B43" s="318"/>
      <c r="C43" s="318"/>
      <c r="D43" s="318"/>
      <c r="E43" s="318"/>
      <c r="F43" s="318"/>
      <c r="G43" s="318"/>
      <c r="H43" s="318"/>
      <c r="I43" s="318"/>
      <c r="J43" s="316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25" customHeight="1" x14ac:dyDescent="0.2">
      <c r="A44" s="384" t="s">
        <v>316</v>
      </c>
      <c r="B44" s="318"/>
      <c r="C44" s="318"/>
      <c r="D44" s="318"/>
      <c r="E44" s="318"/>
      <c r="F44" s="318"/>
      <c r="G44" s="318"/>
      <c r="H44" s="318"/>
      <c r="I44" s="316"/>
      <c r="J44" s="141">
        <f>ROUND(I20+J28+J33+J36+J39+J42,2)</f>
        <v>23896.41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 customHeight="1" x14ac:dyDescent="0.2">
      <c r="A45" s="368"/>
      <c r="B45" s="318"/>
      <c r="C45" s="318"/>
      <c r="D45" s="318"/>
      <c r="E45" s="318"/>
      <c r="F45" s="318"/>
      <c r="G45" s="318"/>
      <c r="H45" s="318"/>
      <c r="I45" s="318"/>
      <c r="J45" s="316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48" customHeight="1" x14ac:dyDescent="0.2">
      <c r="A46" s="385" t="s">
        <v>317</v>
      </c>
      <c r="B46" s="318"/>
      <c r="C46" s="318"/>
      <c r="D46" s="318"/>
      <c r="E46" s="318"/>
      <c r="F46" s="318"/>
      <c r="G46" s="318"/>
      <c r="H46" s="318"/>
      <c r="I46" s="318"/>
      <c r="J46" s="31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 customHeight="1" x14ac:dyDescent="0.2">
      <c r="A47" s="368"/>
      <c r="B47" s="318"/>
      <c r="C47" s="318"/>
      <c r="D47" s="318"/>
      <c r="E47" s="318"/>
      <c r="F47" s="318"/>
      <c r="G47" s="318"/>
      <c r="H47" s="318"/>
      <c r="I47" s="318"/>
      <c r="J47" s="316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48.75" customHeight="1" x14ac:dyDescent="0.2">
      <c r="A48" s="372" t="s">
        <v>318</v>
      </c>
      <c r="B48" s="318"/>
      <c r="C48" s="318"/>
      <c r="D48" s="318"/>
      <c r="E48" s="318"/>
      <c r="F48" s="318"/>
      <c r="G48" s="318"/>
      <c r="H48" s="318"/>
      <c r="I48" s="318"/>
      <c r="J48" s="316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 customHeight="1" x14ac:dyDescent="0.2">
      <c r="A49" s="368"/>
      <c r="B49" s="318"/>
      <c r="C49" s="318"/>
      <c r="D49" s="318"/>
      <c r="E49" s="318"/>
      <c r="F49" s="318"/>
      <c r="G49" s="318"/>
      <c r="H49" s="318"/>
      <c r="I49" s="318"/>
      <c r="J49" s="316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 x14ac:dyDescent="0.2">
      <c r="A50" s="373" t="s">
        <v>319</v>
      </c>
      <c r="B50" s="318"/>
      <c r="C50" s="318"/>
      <c r="D50" s="318"/>
      <c r="E50" s="318"/>
      <c r="F50" s="318"/>
      <c r="G50" s="318"/>
      <c r="H50" s="318"/>
      <c r="I50" s="318"/>
      <c r="J50" s="316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 x14ac:dyDescent="0.2">
      <c r="A51" s="138">
        <v>1</v>
      </c>
      <c r="B51" s="358" t="s">
        <v>320</v>
      </c>
      <c r="C51" s="318"/>
      <c r="D51" s="318"/>
      <c r="E51" s="318"/>
      <c r="F51" s="318"/>
      <c r="G51" s="316"/>
      <c r="H51" s="370" t="s">
        <v>321</v>
      </c>
      <c r="I51" s="318"/>
      <c r="J51" s="316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 x14ac:dyDescent="0.2">
      <c r="A52" s="138">
        <v>2</v>
      </c>
      <c r="B52" s="358" t="s">
        <v>322</v>
      </c>
      <c r="C52" s="318"/>
      <c r="D52" s="318"/>
      <c r="E52" s="318"/>
      <c r="F52" s="318"/>
      <c r="G52" s="316"/>
      <c r="H52" s="370">
        <v>5143</v>
      </c>
      <c r="I52" s="318"/>
      <c r="J52" s="316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 x14ac:dyDescent="0.2">
      <c r="A53" s="138">
        <v>3</v>
      </c>
      <c r="B53" s="358" t="s">
        <v>323</v>
      </c>
      <c r="C53" s="318"/>
      <c r="D53" s="318"/>
      <c r="E53" s="318"/>
      <c r="F53" s="318"/>
      <c r="G53" s="316"/>
      <c r="H53" s="386">
        <f>'Aba Carregamento'!B73</f>
        <v>0</v>
      </c>
      <c r="I53" s="318"/>
      <c r="J53" s="316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 x14ac:dyDescent="0.2">
      <c r="A54" s="138">
        <v>4</v>
      </c>
      <c r="B54" s="358" t="s">
        <v>324</v>
      </c>
      <c r="C54" s="318"/>
      <c r="D54" s="318"/>
      <c r="E54" s="318"/>
      <c r="F54" s="318"/>
      <c r="G54" s="316"/>
      <c r="H54" s="370" t="s">
        <v>325</v>
      </c>
      <c r="I54" s="318"/>
      <c r="J54" s="316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 x14ac:dyDescent="0.2">
      <c r="A55" s="138">
        <v>5</v>
      </c>
      <c r="B55" s="358" t="s">
        <v>326</v>
      </c>
      <c r="C55" s="318"/>
      <c r="D55" s="318"/>
      <c r="E55" s="318"/>
      <c r="F55" s="318"/>
      <c r="G55" s="316"/>
      <c r="H55" s="371">
        <f>'Aba Carregamento'!B72</f>
        <v>44197</v>
      </c>
      <c r="I55" s="318"/>
      <c r="J55" s="316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 customHeight="1" x14ac:dyDescent="0.2">
      <c r="A56" s="368"/>
      <c r="B56" s="318"/>
      <c r="C56" s="318"/>
      <c r="D56" s="318"/>
      <c r="E56" s="318"/>
      <c r="F56" s="318"/>
      <c r="G56" s="318"/>
      <c r="H56" s="318"/>
      <c r="I56" s="318"/>
      <c r="J56" s="316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27" customHeight="1" x14ac:dyDescent="0.2">
      <c r="A57" s="353" t="s">
        <v>327</v>
      </c>
      <c r="B57" s="318"/>
      <c r="C57" s="318"/>
      <c r="D57" s="318"/>
      <c r="E57" s="318"/>
      <c r="F57" s="318"/>
      <c r="G57" s="318"/>
      <c r="H57" s="318"/>
      <c r="I57" s="318"/>
      <c r="J57" s="316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x14ac:dyDescent="0.2">
      <c r="A58" s="368"/>
      <c r="B58" s="318"/>
      <c r="C58" s="318"/>
      <c r="D58" s="318"/>
      <c r="E58" s="318"/>
      <c r="F58" s="318"/>
      <c r="G58" s="318"/>
      <c r="H58" s="318"/>
      <c r="I58" s="318"/>
      <c r="J58" s="316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20.25" customHeight="1" x14ac:dyDescent="0.2">
      <c r="A59" s="372" t="s">
        <v>328</v>
      </c>
      <c r="B59" s="318"/>
      <c r="C59" s="318"/>
      <c r="D59" s="318"/>
      <c r="E59" s="318"/>
      <c r="F59" s="318"/>
      <c r="G59" s="318"/>
      <c r="H59" s="318"/>
      <c r="I59" s="318"/>
      <c r="J59" s="316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30" customHeight="1" x14ac:dyDescent="0.2">
      <c r="A60" s="142">
        <v>1</v>
      </c>
      <c r="B60" s="373" t="s">
        <v>329</v>
      </c>
      <c r="C60" s="318"/>
      <c r="D60" s="318"/>
      <c r="E60" s="318"/>
      <c r="F60" s="318"/>
      <c r="G60" s="316"/>
      <c r="H60" s="373" t="s">
        <v>330</v>
      </c>
      <c r="I60" s="316"/>
      <c r="J60" s="142" t="s">
        <v>331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27" customHeight="1" x14ac:dyDescent="0.2">
      <c r="A61" s="138" t="s">
        <v>278</v>
      </c>
      <c r="B61" s="358" t="s">
        <v>332</v>
      </c>
      <c r="C61" s="318"/>
      <c r="D61" s="318"/>
      <c r="E61" s="318"/>
      <c r="F61" s="318"/>
      <c r="G61" s="318"/>
      <c r="H61" s="318"/>
      <c r="I61" s="316"/>
      <c r="J61" s="143">
        <f>H53/220*'Aba Carregamento'!B79</f>
        <v>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4.25" customHeight="1" x14ac:dyDescent="0.2">
      <c r="A62" s="138" t="s">
        <v>280</v>
      </c>
      <c r="B62" s="358" t="s">
        <v>333</v>
      </c>
      <c r="C62" s="318"/>
      <c r="D62" s="318"/>
      <c r="E62" s="318"/>
      <c r="F62" s="318"/>
      <c r="G62" s="318"/>
      <c r="H62" s="318"/>
      <c r="I62" s="316"/>
      <c r="J62" s="14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4.25" customHeight="1" x14ac:dyDescent="0.2">
      <c r="A63" s="138" t="s">
        <v>282</v>
      </c>
      <c r="B63" s="358" t="s">
        <v>334</v>
      </c>
      <c r="C63" s="318"/>
      <c r="D63" s="318"/>
      <c r="E63" s="318"/>
      <c r="F63" s="318"/>
      <c r="G63" s="318"/>
      <c r="H63" s="316"/>
      <c r="I63" s="144">
        <v>0.2</v>
      </c>
      <c r="J63" s="143">
        <f>ROUND(I63*J61,2)</f>
        <v>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4.25" customHeight="1" x14ac:dyDescent="0.2">
      <c r="A64" s="138" t="s">
        <v>284</v>
      </c>
      <c r="B64" s="358" t="s">
        <v>335</v>
      </c>
      <c r="C64" s="318"/>
      <c r="D64" s="318"/>
      <c r="E64" s="318"/>
      <c r="F64" s="318"/>
      <c r="G64" s="318"/>
      <c r="H64" s="318"/>
      <c r="I64" s="316"/>
      <c r="J64" s="143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4.25" customHeight="1" x14ac:dyDescent="0.2">
      <c r="A65" s="138" t="s">
        <v>336</v>
      </c>
      <c r="B65" s="358" t="s">
        <v>337</v>
      </c>
      <c r="C65" s="318"/>
      <c r="D65" s="318"/>
      <c r="E65" s="318"/>
      <c r="F65" s="318"/>
      <c r="G65" s="318"/>
      <c r="H65" s="318"/>
      <c r="I65" s="316"/>
      <c r="J65" s="145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4.25" customHeight="1" x14ac:dyDescent="0.2">
      <c r="A66" s="138" t="s">
        <v>338</v>
      </c>
      <c r="B66" s="358" t="s">
        <v>339</v>
      </c>
      <c r="C66" s="318"/>
      <c r="D66" s="318"/>
      <c r="E66" s="318"/>
      <c r="F66" s="318"/>
      <c r="G66" s="318"/>
      <c r="H66" s="318"/>
      <c r="I66" s="316"/>
      <c r="J66" s="145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4.25" customHeight="1" x14ac:dyDescent="0.2">
      <c r="A67" s="138" t="s">
        <v>340</v>
      </c>
      <c r="B67" s="358" t="s">
        <v>341</v>
      </c>
      <c r="C67" s="318"/>
      <c r="D67" s="318"/>
      <c r="E67" s="318"/>
      <c r="F67" s="318"/>
      <c r="G67" s="318"/>
      <c r="H67" s="318"/>
      <c r="I67" s="316"/>
      <c r="J67" s="143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 x14ac:dyDescent="0.2">
      <c r="A68" s="374" t="s">
        <v>342</v>
      </c>
      <c r="B68" s="318"/>
      <c r="C68" s="318"/>
      <c r="D68" s="318"/>
      <c r="E68" s="318"/>
      <c r="F68" s="318"/>
      <c r="G68" s="318"/>
      <c r="H68" s="318"/>
      <c r="I68" s="316"/>
      <c r="J68" s="146">
        <f>SUM(J61:J67)</f>
        <v>0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 customHeight="1" x14ac:dyDescent="0.2">
      <c r="A69" s="368"/>
      <c r="B69" s="318"/>
      <c r="C69" s="318"/>
      <c r="D69" s="318"/>
      <c r="E69" s="318"/>
      <c r="F69" s="318"/>
      <c r="G69" s="318"/>
      <c r="H69" s="318"/>
      <c r="I69" s="318"/>
      <c r="J69" s="316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39" customHeight="1" x14ac:dyDescent="0.2">
      <c r="A70" s="375" t="s">
        <v>343</v>
      </c>
      <c r="B70" s="318"/>
      <c r="C70" s="318"/>
      <c r="D70" s="318"/>
      <c r="E70" s="318"/>
      <c r="F70" s="318"/>
      <c r="G70" s="318"/>
      <c r="H70" s="318"/>
      <c r="I70" s="318"/>
      <c r="J70" s="316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 customHeight="1" x14ac:dyDescent="0.2">
      <c r="A71" s="368"/>
      <c r="B71" s="318"/>
      <c r="C71" s="318"/>
      <c r="D71" s="318"/>
      <c r="E71" s="318"/>
      <c r="F71" s="318"/>
      <c r="G71" s="318"/>
      <c r="H71" s="318"/>
      <c r="I71" s="318"/>
      <c r="J71" s="316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 x14ac:dyDescent="0.2">
      <c r="A72" s="376" t="s">
        <v>344</v>
      </c>
      <c r="B72" s="318"/>
      <c r="C72" s="318"/>
      <c r="D72" s="318"/>
      <c r="E72" s="318"/>
      <c r="F72" s="318"/>
      <c r="G72" s="318"/>
      <c r="H72" s="318"/>
      <c r="I72" s="318"/>
      <c r="J72" s="316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 customHeight="1" x14ac:dyDescent="0.2">
      <c r="A73" s="377" t="s">
        <v>345</v>
      </c>
      <c r="B73" s="318"/>
      <c r="C73" s="318"/>
      <c r="D73" s="318"/>
      <c r="E73" s="318"/>
      <c r="F73" s="318"/>
      <c r="G73" s="318"/>
      <c r="H73" s="318"/>
      <c r="I73" s="318"/>
      <c r="J73" s="316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 customHeight="1" x14ac:dyDescent="0.2">
      <c r="A74" s="147" t="s">
        <v>346</v>
      </c>
      <c r="B74" s="378" t="s">
        <v>347</v>
      </c>
      <c r="C74" s="318"/>
      <c r="D74" s="318"/>
      <c r="E74" s="318"/>
      <c r="F74" s="318"/>
      <c r="G74" s="318"/>
      <c r="H74" s="318"/>
      <c r="I74" s="316"/>
      <c r="J74" s="148" t="s">
        <v>348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 customHeight="1" x14ac:dyDescent="0.2">
      <c r="A75" s="149" t="s">
        <v>278</v>
      </c>
      <c r="B75" s="379" t="s">
        <v>349</v>
      </c>
      <c r="C75" s="318"/>
      <c r="D75" s="318"/>
      <c r="E75" s="318"/>
      <c r="F75" s="318"/>
      <c r="G75" s="318"/>
      <c r="H75" s="318"/>
      <c r="I75" s="316"/>
      <c r="J75" s="150">
        <f>J68/12</f>
        <v>0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 customHeight="1" x14ac:dyDescent="0.2">
      <c r="A76" s="149" t="s">
        <v>280</v>
      </c>
      <c r="B76" s="379" t="s">
        <v>350</v>
      </c>
      <c r="C76" s="318"/>
      <c r="D76" s="318"/>
      <c r="E76" s="318"/>
      <c r="F76" s="318"/>
      <c r="G76" s="318"/>
      <c r="H76" s="318"/>
      <c r="I76" s="316"/>
      <c r="J76" s="150">
        <f>ROUND((($J$68/3)/12),2)</f>
        <v>0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 customHeight="1" x14ac:dyDescent="0.2">
      <c r="A77" s="380" t="s">
        <v>351</v>
      </c>
      <c r="B77" s="318"/>
      <c r="C77" s="318"/>
      <c r="D77" s="318"/>
      <c r="E77" s="318"/>
      <c r="F77" s="318"/>
      <c r="G77" s="318"/>
      <c r="H77" s="318"/>
      <c r="I77" s="316"/>
      <c r="J77" s="150">
        <f>SUM(J75+J76)</f>
        <v>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 customHeight="1" x14ac:dyDescent="0.2">
      <c r="A78" s="151"/>
      <c r="B78" s="379"/>
      <c r="C78" s="318"/>
      <c r="D78" s="318"/>
      <c r="E78" s="318"/>
      <c r="F78" s="318"/>
      <c r="G78" s="318"/>
      <c r="H78" s="318"/>
      <c r="I78" s="316"/>
      <c r="J78" s="152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 customHeight="1" x14ac:dyDescent="0.2">
      <c r="A79" s="387" t="s">
        <v>351</v>
      </c>
      <c r="B79" s="318"/>
      <c r="C79" s="318"/>
      <c r="D79" s="318"/>
      <c r="E79" s="318"/>
      <c r="F79" s="318"/>
      <c r="G79" s="318"/>
      <c r="H79" s="318"/>
      <c r="I79" s="316"/>
      <c r="J79" s="153">
        <f>J77+J78</f>
        <v>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 customHeight="1" x14ac:dyDescent="0.2">
      <c r="A80" s="368"/>
      <c r="B80" s="318"/>
      <c r="C80" s="318"/>
      <c r="D80" s="318"/>
      <c r="E80" s="318"/>
      <c r="F80" s="318"/>
      <c r="G80" s="318"/>
      <c r="H80" s="318"/>
      <c r="I80" s="318"/>
      <c r="J80" s="316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48" customHeight="1" x14ac:dyDescent="0.2">
      <c r="A81" s="385" t="s">
        <v>352</v>
      </c>
      <c r="B81" s="318"/>
      <c r="C81" s="318"/>
      <c r="D81" s="318"/>
      <c r="E81" s="318"/>
      <c r="F81" s="318"/>
      <c r="G81" s="318"/>
      <c r="H81" s="318"/>
      <c r="I81" s="318"/>
      <c r="J81" s="316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 customHeight="1" x14ac:dyDescent="0.2">
      <c r="A82" s="368"/>
      <c r="B82" s="318"/>
      <c r="C82" s="318"/>
      <c r="D82" s="318"/>
      <c r="E82" s="318"/>
      <c r="F82" s="318"/>
      <c r="G82" s="318"/>
      <c r="H82" s="318"/>
      <c r="I82" s="318"/>
      <c r="J82" s="316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30" customHeight="1" x14ac:dyDescent="0.2">
      <c r="A83" s="376" t="s">
        <v>353</v>
      </c>
      <c r="B83" s="318"/>
      <c r="C83" s="318"/>
      <c r="D83" s="318"/>
      <c r="E83" s="318"/>
      <c r="F83" s="318"/>
      <c r="G83" s="318"/>
      <c r="H83" s="318"/>
      <c r="I83" s="318"/>
      <c r="J83" s="316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 customHeight="1" x14ac:dyDescent="0.2">
      <c r="A84" s="154" t="s">
        <v>354</v>
      </c>
      <c r="B84" s="388" t="s">
        <v>355</v>
      </c>
      <c r="C84" s="318"/>
      <c r="D84" s="318"/>
      <c r="E84" s="318"/>
      <c r="F84" s="318"/>
      <c r="G84" s="318"/>
      <c r="H84" s="316"/>
      <c r="I84" s="142" t="s">
        <v>356</v>
      </c>
      <c r="J84" s="142" t="s">
        <v>357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 customHeight="1" x14ac:dyDescent="0.2">
      <c r="A85" s="149" t="s">
        <v>278</v>
      </c>
      <c r="B85" s="379" t="s">
        <v>358</v>
      </c>
      <c r="C85" s="318"/>
      <c r="D85" s="318"/>
      <c r="E85" s="318"/>
      <c r="F85" s="318"/>
      <c r="G85" s="318"/>
      <c r="H85" s="316"/>
      <c r="I85" s="155">
        <v>0.2</v>
      </c>
      <c r="J85" s="156">
        <f t="shared" ref="J85:J92" si="0">ROUND($J$68*I85,2)</f>
        <v>0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 customHeight="1" x14ac:dyDescent="0.2">
      <c r="A86" s="149" t="s">
        <v>280</v>
      </c>
      <c r="B86" s="379" t="s">
        <v>359</v>
      </c>
      <c r="C86" s="318"/>
      <c r="D86" s="318"/>
      <c r="E86" s="318"/>
      <c r="F86" s="318"/>
      <c r="G86" s="318"/>
      <c r="H86" s="316"/>
      <c r="I86" s="155">
        <v>0</v>
      </c>
      <c r="J86" s="156">
        <f t="shared" si="0"/>
        <v>0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46.5" customHeight="1" x14ac:dyDescent="0.2">
      <c r="A87" s="149" t="s">
        <v>282</v>
      </c>
      <c r="B87" s="358" t="s">
        <v>360</v>
      </c>
      <c r="C87" s="318"/>
      <c r="D87" s="316"/>
      <c r="E87" s="157" t="s">
        <v>361</v>
      </c>
      <c r="F87" s="158">
        <f>'Aba Carregamento'!B85</f>
        <v>0</v>
      </c>
      <c r="G87" s="157" t="s">
        <v>362</v>
      </c>
      <c r="H87" s="159">
        <f>'Aba Carregamento'!B86</f>
        <v>0</v>
      </c>
      <c r="I87" s="160">
        <f>ROUND((F87*H87),6)</f>
        <v>0</v>
      </c>
      <c r="J87" s="156">
        <f t="shared" si="0"/>
        <v>0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 customHeight="1" x14ac:dyDescent="0.2">
      <c r="A88" s="149" t="s">
        <v>284</v>
      </c>
      <c r="B88" s="379" t="s">
        <v>363</v>
      </c>
      <c r="C88" s="318"/>
      <c r="D88" s="318"/>
      <c r="E88" s="318"/>
      <c r="F88" s="318"/>
      <c r="G88" s="318"/>
      <c r="H88" s="316"/>
      <c r="I88" s="155">
        <v>0</v>
      </c>
      <c r="J88" s="156">
        <f t="shared" si="0"/>
        <v>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 customHeight="1" x14ac:dyDescent="0.2">
      <c r="A89" s="149" t="s">
        <v>336</v>
      </c>
      <c r="B89" s="379" t="s">
        <v>364</v>
      </c>
      <c r="C89" s="318"/>
      <c r="D89" s="318"/>
      <c r="E89" s="318"/>
      <c r="F89" s="318"/>
      <c r="G89" s="318"/>
      <c r="H89" s="316"/>
      <c r="I89" s="155">
        <v>0</v>
      </c>
      <c r="J89" s="156">
        <f t="shared" si="0"/>
        <v>0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 customHeight="1" x14ac:dyDescent="0.2">
      <c r="A90" s="149" t="s">
        <v>338</v>
      </c>
      <c r="B90" s="379" t="s">
        <v>365</v>
      </c>
      <c r="C90" s="318"/>
      <c r="D90" s="318"/>
      <c r="E90" s="318"/>
      <c r="F90" s="318"/>
      <c r="G90" s="318"/>
      <c r="H90" s="316"/>
      <c r="I90" s="155">
        <v>0</v>
      </c>
      <c r="J90" s="156">
        <f t="shared" si="0"/>
        <v>0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 customHeight="1" x14ac:dyDescent="0.2">
      <c r="A91" s="149" t="s">
        <v>340</v>
      </c>
      <c r="B91" s="379" t="s">
        <v>366</v>
      </c>
      <c r="C91" s="318"/>
      <c r="D91" s="318"/>
      <c r="E91" s="318"/>
      <c r="F91" s="318"/>
      <c r="G91" s="318"/>
      <c r="H91" s="316"/>
      <c r="I91" s="155">
        <v>0</v>
      </c>
      <c r="J91" s="156">
        <f t="shared" si="0"/>
        <v>0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 customHeight="1" x14ac:dyDescent="0.2">
      <c r="A92" s="149" t="s">
        <v>367</v>
      </c>
      <c r="B92" s="379" t="s">
        <v>368</v>
      </c>
      <c r="C92" s="318"/>
      <c r="D92" s="318"/>
      <c r="E92" s="318"/>
      <c r="F92" s="318"/>
      <c r="G92" s="318"/>
      <c r="H92" s="316"/>
      <c r="I92" s="155">
        <v>0.08</v>
      </c>
      <c r="J92" s="156">
        <f t="shared" si="0"/>
        <v>0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 customHeight="1" x14ac:dyDescent="0.2">
      <c r="A93" s="387" t="s">
        <v>351</v>
      </c>
      <c r="B93" s="318"/>
      <c r="C93" s="318"/>
      <c r="D93" s="318"/>
      <c r="E93" s="318"/>
      <c r="F93" s="318"/>
      <c r="G93" s="318"/>
      <c r="H93" s="316"/>
      <c r="I93" s="161">
        <f t="shared" ref="I93:J93" si="1">SUM(I85:I92)</f>
        <v>0.28000000000000003</v>
      </c>
      <c r="J93" s="153">
        <f t="shared" si="1"/>
        <v>0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 customHeight="1" x14ac:dyDescent="0.2">
      <c r="A94" s="368"/>
      <c r="B94" s="318"/>
      <c r="C94" s="318"/>
      <c r="D94" s="318"/>
      <c r="E94" s="318"/>
      <c r="F94" s="318"/>
      <c r="G94" s="318"/>
      <c r="H94" s="318"/>
      <c r="I94" s="318"/>
      <c r="J94" s="316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36.75" customHeight="1" x14ac:dyDescent="0.2">
      <c r="A95" s="385" t="s">
        <v>369</v>
      </c>
      <c r="B95" s="318"/>
      <c r="C95" s="318"/>
      <c r="D95" s="318"/>
      <c r="E95" s="318"/>
      <c r="F95" s="318"/>
      <c r="G95" s="318"/>
      <c r="H95" s="318"/>
      <c r="I95" s="318"/>
      <c r="J95" s="316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 customHeight="1" x14ac:dyDescent="0.2">
      <c r="A96" s="368"/>
      <c r="B96" s="318"/>
      <c r="C96" s="318"/>
      <c r="D96" s="318"/>
      <c r="E96" s="318"/>
      <c r="F96" s="318"/>
      <c r="G96" s="318"/>
      <c r="H96" s="318"/>
      <c r="I96" s="318"/>
      <c r="J96" s="316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 x14ac:dyDescent="0.2">
      <c r="A97" s="376" t="s">
        <v>370</v>
      </c>
      <c r="B97" s="318"/>
      <c r="C97" s="318"/>
      <c r="D97" s="318"/>
      <c r="E97" s="318"/>
      <c r="F97" s="318"/>
      <c r="G97" s="318"/>
      <c r="H97" s="318"/>
      <c r="I97" s="318"/>
      <c r="J97" s="316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 customHeight="1" x14ac:dyDescent="0.2">
      <c r="A98" s="154" t="s">
        <v>371</v>
      </c>
      <c r="B98" s="388" t="s">
        <v>372</v>
      </c>
      <c r="C98" s="318"/>
      <c r="D98" s="318"/>
      <c r="E98" s="318"/>
      <c r="F98" s="318"/>
      <c r="G98" s="318"/>
      <c r="H98" s="318"/>
      <c r="I98" s="316"/>
      <c r="J98" s="142" t="s">
        <v>348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 x14ac:dyDescent="0.2">
      <c r="A99" s="149" t="s">
        <v>278</v>
      </c>
      <c r="B99" s="379" t="s">
        <v>373</v>
      </c>
      <c r="C99" s="318"/>
      <c r="D99" s="318"/>
      <c r="E99" s="318"/>
      <c r="F99" s="318"/>
      <c r="G99" s="318"/>
      <c r="H99" s="318"/>
      <c r="I99" s="316"/>
      <c r="J99" s="156">
        <f>IF(ROUND((I102*I100*I101)-(J61*0.06),2)&lt;0,0,ROUND((I102*I100*I101)-(J61*0.06),2))*1+(I100*I101*21.726-0.06*J61)*0</f>
        <v>0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 customHeight="1" x14ac:dyDescent="0.2">
      <c r="A100" s="149"/>
      <c r="B100" s="392" t="s">
        <v>374</v>
      </c>
      <c r="C100" s="318"/>
      <c r="D100" s="318"/>
      <c r="E100" s="318"/>
      <c r="F100" s="318"/>
      <c r="G100" s="318"/>
      <c r="H100" s="316"/>
      <c r="I100" s="162">
        <f>'Aba Carregamento'!B90</f>
        <v>0</v>
      </c>
      <c r="J100" s="163" t="s">
        <v>375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 customHeight="1" x14ac:dyDescent="0.2">
      <c r="A101" s="149"/>
      <c r="B101" s="392" t="s">
        <v>376</v>
      </c>
      <c r="C101" s="318"/>
      <c r="D101" s="318"/>
      <c r="E101" s="318"/>
      <c r="F101" s="318"/>
      <c r="G101" s="318"/>
      <c r="H101" s="316"/>
      <c r="I101" s="164">
        <f>'Aba Carregamento'!B91</f>
        <v>0</v>
      </c>
      <c r="J101" s="163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 customHeight="1" x14ac:dyDescent="0.2">
      <c r="A102" s="149"/>
      <c r="B102" s="392" t="s">
        <v>377</v>
      </c>
      <c r="C102" s="318"/>
      <c r="D102" s="318"/>
      <c r="E102" s="318"/>
      <c r="F102" s="318"/>
      <c r="G102" s="318"/>
      <c r="H102" s="316"/>
      <c r="I102" s="165">
        <f>'Aba Carregamento'!B92</f>
        <v>0</v>
      </c>
      <c r="J102" s="163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 customHeight="1" x14ac:dyDescent="0.2">
      <c r="A103" s="149" t="s">
        <v>280</v>
      </c>
      <c r="B103" s="379" t="s">
        <v>378</v>
      </c>
      <c r="C103" s="318"/>
      <c r="D103" s="318"/>
      <c r="E103" s="318"/>
      <c r="F103" s="318"/>
      <c r="G103" s="318"/>
      <c r="H103" s="318"/>
      <c r="I103" s="316"/>
      <c r="J103" s="156">
        <f>ROUND(I105*I104*(1-I106),2)*1+ROUND(21.726*6*(1-I106),2)*0</f>
        <v>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2.75" customHeight="1" x14ac:dyDescent="0.2">
      <c r="A104" s="149"/>
      <c r="B104" s="392" t="s">
        <v>379</v>
      </c>
      <c r="C104" s="318"/>
      <c r="D104" s="318"/>
      <c r="E104" s="318"/>
      <c r="F104" s="318"/>
      <c r="G104" s="318"/>
      <c r="H104" s="316"/>
      <c r="I104" s="162">
        <f>'Aba Carregamento'!B87</f>
        <v>0</v>
      </c>
      <c r="J104" s="163" t="s">
        <v>375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 customHeight="1" x14ac:dyDescent="0.2">
      <c r="A105" s="166"/>
      <c r="B105" s="392" t="s">
        <v>380</v>
      </c>
      <c r="C105" s="318"/>
      <c r="D105" s="318"/>
      <c r="E105" s="318"/>
      <c r="F105" s="318"/>
      <c r="G105" s="318"/>
      <c r="H105" s="316"/>
      <c r="I105" s="165">
        <f>'Aba Carregamento'!B89</f>
        <v>0</v>
      </c>
      <c r="J105" s="163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 customHeight="1" x14ac:dyDescent="0.2">
      <c r="A106" s="166"/>
      <c r="B106" s="392" t="s">
        <v>381</v>
      </c>
      <c r="C106" s="318"/>
      <c r="D106" s="318"/>
      <c r="E106" s="318"/>
      <c r="F106" s="318"/>
      <c r="G106" s="318"/>
      <c r="H106" s="316"/>
      <c r="I106" s="167">
        <f>'Aba Carregamento'!B88</f>
        <v>0</v>
      </c>
      <c r="J106" s="163"/>
      <c r="K106" s="61"/>
      <c r="L106" s="61"/>
      <c r="M106" s="61"/>
      <c r="N106" s="61"/>
      <c r="O106" s="61"/>
      <c r="P106" s="61"/>
      <c r="Q106" s="168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 customHeight="1" x14ac:dyDescent="0.2">
      <c r="A107" s="149" t="s">
        <v>282</v>
      </c>
      <c r="B107" s="379" t="s">
        <v>382</v>
      </c>
      <c r="C107" s="318"/>
      <c r="D107" s="318"/>
      <c r="E107" s="318"/>
      <c r="F107" s="318"/>
      <c r="G107" s="318"/>
      <c r="H107" s="318"/>
      <c r="I107" s="316"/>
      <c r="J107" s="156">
        <v>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 customHeight="1" x14ac:dyDescent="0.2">
      <c r="A108" s="149" t="s">
        <v>284</v>
      </c>
      <c r="B108" s="379" t="s">
        <v>383</v>
      </c>
      <c r="C108" s="318"/>
      <c r="D108" s="318"/>
      <c r="E108" s="318"/>
      <c r="F108" s="318"/>
      <c r="G108" s="318"/>
      <c r="H108" s="318"/>
      <c r="I108" s="316"/>
      <c r="J108" s="169">
        <v>0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27" customHeight="1" x14ac:dyDescent="0.2">
      <c r="A109" s="149" t="s">
        <v>284</v>
      </c>
      <c r="B109" s="358" t="s">
        <v>384</v>
      </c>
      <c r="C109" s="318"/>
      <c r="D109" s="318"/>
      <c r="E109" s="318"/>
      <c r="F109" s="318"/>
      <c r="G109" s="318"/>
      <c r="H109" s="318"/>
      <c r="I109" s="316"/>
      <c r="J109" s="156">
        <v>0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27" customHeight="1" x14ac:dyDescent="0.2">
      <c r="A110" s="149" t="s">
        <v>336</v>
      </c>
      <c r="B110" s="358" t="s">
        <v>385</v>
      </c>
      <c r="C110" s="318"/>
      <c r="D110" s="318"/>
      <c r="E110" s="318"/>
      <c r="F110" s="318"/>
      <c r="G110" s="318"/>
      <c r="H110" s="318"/>
      <c r="I110" s="316"/>
      <c r="J110" s="170">
        <f>'Aba Carregamento'!B93</f>
        <v>0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 customHeight="1" x14ac:dyDescent="0.2">
      <c r="A111" s="149" t="s">
        <v>338</v>
      </c>
      <c r="B111" s="379" t="s">
        <v>386</v>
      </c>
      <c r="C111" s="318"/>
      <c r="D111" s="318"/>
      <c r="E111" s="318"/>
      <c r="F111" s="318"/>
      <c r="G111" s="318"/>
      <c r="H111" s="318"/>
      <c r="I111" s="316"/>
      <c r="J111" s="171" t="s">
        <v>375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 customHeight="1" x14ac:dyDescent="0.2">
      <c r="A112" s="387" t="s">
        <v>342</v>
      </c>
      <c r="B112" s="318"/>
      <c r="C112" s="318"/>
      <c r="D112" s="318"/>
      <c r="E112" s="318"/>
      <c r="F112" s="318"/>
      <c r="G112" s="318"/>
      <c r="H112" s="318"/>
      <c r="I112" s="316"/>
      <c r="J112" s="153">
        <f>SUM(J99:J110)</f>
        <v>0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 customHeight="1" x14ac:dyDescent="0.2">
      <c r="A113" s="368"/>
      <c r="B113" s="318"/>
      <c r="C113" s="318"/>
      <c r="D113" s="318"/>
      <c r="E113" s="318"/>
      <c r="F113" s="318"/>
      <c r="G113" s="318"/>
      <c r="H113" s="318"/>
      <c r="I113" s="318"/>
      <c r="J113" s="316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36.75" customHeight="1" x14ac:dyDescent="0.2">
      <c r="A114" s="385" t="s">
        <v>387</v>
      </c>
      <c r="B114" s="318"/>
      <c r="C114" s="318"/>
      <c r="D114" s="318"/>
      <c r="E114" s="318"/>
      <c r="F114" s="318"/>
      <c r="G114" s="318"/>
      <c r="H114" s="318"/>
      <c r="I114" s="318"/>
      <c r="J114" s="316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 customHeight="1" x14ac:dyDescent="0.2">
      <c r="A115" s="368"/>
      <c r="B115" s="318"/>
      <c r="C115" s="318"/>
      <c r="D115" s="318"/>
      <c r="E115" s="318"/>
      <c r="F115" s="318"/>
      <c r="G115" s="318"/>
      <c r="H115" s="318"/>
      <c r="I115" s="318"/>
      <c r="J115" s="316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 x14ac:dyDescent="0.2">
      <c r="A116" s="376" t="s">
        <v>388</v>
      </c>
      <c r="B116" s="318"/>
      <c r="C116" s="318"/>
      <c r="D116" s="318"/>
      <c r="E116" s="318"/>
      <c r="F116" s="318"/>
      <c r="G116" s="318"/>
      <c r="H116" s="318"/>
      <c r="I116" s="318"/>
      <c r="J116" s="316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 x14ac:dyDescent="0.2">
      <c r="A117" s="142">
        <v>2</v>
      </c>
      <c r="B117" s="373" t="s">
        <v>389</v>
      </c>
      <c r="C117" s="318"/>
      <c r="D117" s="318"/>
      <c r="E117" s="318"/>
      <c r="F117" s="318"/>
      <c r="G117" s="318"/>
      <c r="H117" s="318"/>
      <c r="I117" s="316"/>
      <c r="J117" s="142" t="s">
        <v>348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4.25" customHeight="1" x14ac:dyDescent="0.2">
      <c r="A118" s="138" t="s">
        <v>346</v>
      </c>
      <c r="B118" s="358" t="s">
        <v>390</v>
      </c>
      <c r="C118" s="318"/>
      <c r="D118" s="318"/>
      <c r="E118" s="318"/>
      <c r="F118" s="318"/>
      <c r="G118" s="318"/>
      <c r="H118" s="318"/>
      <c r="I118" s="316"/>
      <c r="J118" s="172">
        <f>J79</f>
        <v>0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4.25" customHeight="1" x14ac:dyDescent="0.2">
      <c r="A119" s="138" t="s">
        <v>354</v>
      </c>
      <c r="B119" s="358" t="s">
        <v>355</v>
      </c>
      <c r="C119" s="318"/>
      <c r="D119" s="318"/>
      <c r="E119" s="318"/>
      <c r="F119" s="318"/>
      <c r="G119" s="318"/>
      <c r="H119" s="318"/>
      <c r="I119" s="316"/>
      <c r="J119" s="172">
        <f>J93</f>
        <v>0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4.25" customHeight="1" x14ac:dyDescent="0.2">
      <c r="A120" s="138" t="s">
        <v>371</v>
      </c>
      <c r="B120" s="358" t="s">
        <v>372</v>
      </c>
      <c r="C120" s="318"/>
      <c r="D120" s="318"/>
      <c r="E120" s="318"/>
      <c r="F120" s="318"/>
      <c r="G120" s="318"/>
      <c r="H120" s="318"/>
      <c r="I120" s="316"/>
      <c r="J120" s="172">
        <f>J112</f>
        <v>0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4.25" customHeight="1" x14ac:dyDescent="0.2">
      <c r="A121" s="374" t="s">
        <v>351</v>
      </c>
      <c r="B121" s="318"/>
      <c r="C121" s="318"/>
      <c r="D121" s="318"/>
      <c r="E121" s="318"/>
      <c r="F121" s="318"/>
      <c r="G121" s="318"/>
      <c r="H121" s="318"/>
      <c r="I121" s="316"/>
      <c r="J121" s="173">
        <f>SUM(J118+J119+J120)</f>
        <v>0</v>
      </c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 customHeight="1" x14ac:dyDescent="0.2">
      <c r="A122" s="368"/>
      <c r="B122" s="318"/>
      <c r="C122" s="318"/>
      <c r="D122" s="318"/>
      <c r="E122" s="318"/>
      <c r="F122" s="318"/>
      <c r="G122" s="318"/>
      <c r="H122" s="318"/>
      <c r="I122" s="318"/>
      <c r="J122" s="316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 x14ac:dyDescent="0.2">
      <c r="A123" s="376" t="s">
        <v>391</v>
      </c>
      <c r="B123" s="318"/>
      <c r="C123" s="318"/>
      <c r="D123" s="318"/>
      <c r="E123" s="318"/>
      <c r="F123" s="318"/>
      <c r="G123" s="318"/>
      <c r="H123" s="318"/>
      <c r="I123" s="318"/>
      <c r="J123" s="316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 customHeight="1" x14ac:dyDescent="0.2">
      <c r="A124" s="154">
        <v>3</v>
      </c>
      <c r="B124" s="388" t="s">
        <v>392</v>
      </c>
      <c r="C124" s="318"/>
      <c r="D124" s="318"/>
      <c r="E124" s="318"/>
      <c r="F124" s="318"/>
      <c r="G124" s="318"/>
      <c r="H124" s="318"/>
      <c r="I124" s="316"/>
      <c r="J124" s="154" t="s">
        <v>393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46.5" customHeight="1" x14ac:dyDescent="0.2">
      <c r="A125" s="149" t="s">
        <v>278</v>
      </c>
      <c r="B125" s="358" t="s">
        <v>394</v>
      </c>
      <c r="C125" s="318"/>
      <c r="D125" s="318"/>
      <c r="E125" s="318"/>
      <c r="F125" s="318"/>
      <c r="G125" s="318"/>
      <c r="H125" s="318"/>
      <c r="I125" s="316"/>
      <c r="J125" s="156">
        <f>ROUND((($J$68/12)+($J$75/12)+($J$68/12/12)+($J$76/12))*(30/30)*0.05,2)</f>
        <v>0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4.25" customHeight="1" x14ac:dyDescent="0.2">
      <c r="A126" s="149" t="s">
        <v>280</v>
      </c>
      <c r="B126" s="358" t="s">
        <v>395</v>
      </c>
      <c r="C126" s="318"/>
      <c r="D126" s="318"/>
      <c r="E126" s="318"/>
      <c r="F126" s="318"/>
      <c r="G126" s="318"/>
      <c r="H126" s="318"/>
      <c r="I126" s="316"/>
      <c r="J126" s="156">
        <f>ROUND($J$125*I92,2)</f>
        <v>0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27" customHeight="1" x14ac:dyDescent="0.2">
      <c r="A127" s="149" t="s">
        <v>282</v>
      </c>
      <c r="B127" s="358" t="s">
        <v>396</v>
      </c>
      <c r="C127" s="318"/>
      <c r="D127" s="318"/>
      <c r="E127" s="318"/>
      <c r="F127" s="318"/>
      <c r="G127" s="318"/>
      <c r="H127" s="318"/>
      <c r="I127" s="316"/>
      <c r="J127" s="156">
        <f>ROUND(0.08*0.4*($J$68+$J$75+$J$76+J138)*0.05,2)</f>
        <v>0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27" customHeight="1" x14ac:dyDescent="0.2">
      <c r="A128" s="149" t="s">
        <v>284</v>
      </c>
      <c r="B128" s="358" t="s">
        <v>397</v>
      </c>
      <c r="C128" s="318"/>
      <c r="D128" s="318"/>
      <c r="E128" s="318"/>
      <c r="F128" s="318"/>
      <c r="G128" s="318"/>
      <c r="H128" s="318"/>
      <c r="I128" s="316"/>
      <c r="J128" s="156">
        <f>ROUND(((($J$68/30)*7)/$H$10)*1,2)</f>
        <v>0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4.25" customHeight="1" x14ac:dyDescent="0.2">
      <c r="A129" s="149" t="s">
        <v>336</v>
      </c>
      <c r="B129" s="358" t="s">
        <v>398</v>
      </c>
      <c r="C129" s="318"/>
      <c r="D129" s="318"/>
      <c r="E129" s="318"/>
      <c r="F129" s="318"/>
      <c r="G129" s="318"/>
      <c r="H129" s="318"/>
      <c r="I129" s="316"/>
      <c r="J129" s="156">
        <f>ROUND($I$93*J128,2)</f>
        <v>0</v>
      </c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27" customHeight="1" x14ac:dyDescent="0.2">
      <c r="A130" s="149" t="s">
        <v>338</v>
      </c>
      <c r="B130" s="389" t="s">
        <v>399</v>
      </c>
      <c r="C130" s="318"/>
      <c r="D130" s="318"/>
      <c r="E130" s="318"/>
      <c r="F130" s="318"/>
      <c r="G130" s="318"/>
      <c r="H130" s="318"/>
      <c r="I130" s="316"/>
      <c r="J130" s="156">
        <f>ROUND(0.08*0.4*($J$68+$J$75+$J$76+J138)*1,2)</f>
        <v>0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 customHeight="1" x14ac:dyDescent="0.2">
      <c r="A131" s="387" t="s">
        <v>351</v>
      </c>
      <c r="B131" s="318"/>
      <c r="C131" s="318"/>
      <c r="D131" s="318"/>
      <c r="E131" s="318"/>
      <c r="F131" s="318"/>
      <c r="G131" s="318"/>
      <c r="H131" s="318"/>
      <c r="I131" s="316"/>
      <c r="J131" s="153">
        <f>SUM(J125:J130)</f>
        <v>0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40.5" customHeight="1" x14ac:dyDescent="0.2">
      <c r="A132" s="390" t="s">
        <v>400</v>
      </c>
      <c r="B132" s="318"/>
      <c r="C132" s="318"/>
      <c r="D132" s="318"/>
      <c r="E132" s="318"/>
      <c r="F132" s="318"/>
      <c r="G132" s="318"/>
      <c r="H132" s="318"/>
      <c r="I132" s="318"/>
      <c r="J132" s="316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 x14ac:dyDescent="0.2">
      <c r="A133" s="376" t="s">
        <v>401</v>
      </c>
      <c r="B133" s="318"/>
      <c r="C133" s="318"/>
      <c r="D133" s="318"/>
      <c r="E133" s="318"/>
      <c r="F133" s="318"/>
      <c r="G133" s="318"/>
      <c r="H133" s="318"/>
      <c r="I133" s="318"/>
      <c r="J133" s="316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36.75" customHeight="1" x14ac:dyDescent="0.2">
      <c r="A134" s="385" t="s">
        <v>402</v>
      </c>
      <c r="B134" s="318"/>
      <c r="C134" s="318"/>
      <c r="D134" s="318"/>
      <c r="E134" s="318"/>
      <c r="F134" s="318"/>
      <c r="G134" s="318"/>
      <c r="H134" s="318"/>
      <c r="I134" s="318"/>
      <c r="J134" s="316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42" customHeight="1" x14ac:dyDescent="0.2">
      <c r="A135" s="391" t="s">
        <v>403</v>
      </c>
      <c r="B135" s="318"/>
      <c r="C135" s="318"/>
      <c r="D135" s="318"/>
      <c r="E135" s="318"/>
      <c r="F135" s="318"/>
      <c r="G135" s="318"/>
      <c r="H135" s="318"/>
      <c r="I135" s="316"/>
      <c r="J135" s="174">
        <f>ROUND(J68/12,2)+J68+J75+J76</f>
        <v>0</v>
      </c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 x14ac:dyDescent="0.2">
      <c r="A136" s="376" t="s">
        <v>404</v>
      </c>
      <c r="B136" s="318"/>
      <c r="C136" s="318"/>
      <c r="D136" s="318"/>
      <c r="E136" s="318"/>
      <c r="F136" s="318"/>
      <c r="G136" s="318"/>
      <c r="H136" s="318"/>
      <c r="I136" s="318"/>
      <c r="J136" s="316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 customHeight="1" x14ac:dyDescent="0.25">
      <c r="A137" s="175" t="s">
        <v>405</v>
      </c>
      <c r="B137" s="388" t="s">
        <v>406</v>
      </c>
      <c r="C137" s="318"/>
      <c r="D137" s="318"/>
      <c r="E137" s="318"/>
      <c r="F137" s="318"/>
      <c r="G137" s="318"/>
      <c r="H137" s="318"/>
      <c r="I137" s="316"/>
      <c r="J137" s="175" t="s">
        <v>348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 customHeight="1" x14ac:dyDescent="0.2">
      <c r="A138" s="151" t="s">
        <v>278</v>
      </c>
      <c r="B138" s="379" t="s">
        <v>407</v>
      </c>
      <c r="C138" s="318"/>
      <c r="D138" s="318"/>
      <c r="E138" s="318"/>
      <c r="F138" s="318"/>
      <c r="G138" s="318"/>
      <c r="H138" s="318"/>
      <c r="I138" s="316"/>
      <c r="J138" s="156"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 customHeight="1" x14ac:dyDescent="0.2">
      <c r="A139" s="151" t="s">
        <v>280</v>
      </c>
      <c r="B139" s="379" t="s">
        <v>408</v>
      </c>
      <c r="C139" s="318"/>
      <c r="D139" s="318"/>
      <c r="E139" s="318"/>
      <c r="F139" s="318"/>
      <c r="G139" s="318"/>
      <c r="H139" s="318"/>
      <c r="I139" s="316"/>
      <c r="J139" s="176">
        <f>ROUND((($J$135/30)*2.96)/12,2)</f>
        <v>0</v>
      </c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 customHeight="1" x14ac:dyDescent="0.2">
      <c r="A140" s="151" t="s">
        <v>282</v>
      </c>
      <c r="B140" s="379" t="s">
        <v>409</v>
      </c>
      <c r="C140" s="318"/>
      <c r="D140" s="318"/>
      <c r="E140" s="318"/>
      <c r="F140" s="318"/>
      <c r="G140" s="318"/>
      <c r="H140" s="318"/>
      <c r="I140" s="316"/>
      <c r="J140" s="176">
        <f>ROUND((($J$135/30)*5)/12*0.015,2)</f>
        <v>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 customHeight="1" x14ac:dyDescent="0.2">
      <c r="A141" s="151" t="s">
        <v>284</v>
      </c>
      <c r="B141" s="379" t="s">
        <v>410</v>
      </c>
      <c r="C141" s="318"/>
      <c r="D141" s="318"/>
      <c r="E141" s="318"/>
      <c r="F141" s="318"/>
      <c r="G141" s="318"/>
      <c r="H141" s="318"/>
      <c r="I141" s="316"/>
      <c r="J141" s="152">
        <f>ROUND(((($J$135/30)*15)/12)*0.0078,2)</f>
        <v>0</v>
      </c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 customHeight="1" x14ac:dyDescent="0.2">
      <c r="A142" s="151" t="s">
        <v>336</v>
      </c>
      <c r="B142" s="379" t="s">
        <v>411</v>
      </c>
      <c r="C142" s="318"/>
      <c r="D142" s="318"/>
      <c r="E142" s="318"/>
      <c r="F142" s="318"/>
      <c r="G142" s="318"/>
      <c r="H142" s="318"/>
      <c r="I142" s="316"/>
      <c r="J142" s="156">
        <f>ROUND(((($J$68+$J$68/3)*4/12)/12)*0.02,2)</f>
        <v>0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 customHeight="1" x14ac:dyDescent="0.2">
      <c r="A143" s="177" t="s">
        <v>338</v>
      </c>
      <c r="B143" s="393" t="s">
        <v>412</v>
      </c>
      <c r="C143" s="318"/>
      <c r="D143" s="318"/>
      <c r="E143" s="318"/>
      <c r="F143" s="318"/>
      <c r="G143" s="318"/>
      <c r="H143" s="318"/>
      <c r="I143" s="316"/>
      <c r="J143" s="152">
        <f>ROUND(((($J$135/30)*5)/12),2)</f>
        <v>0</v>
      </c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 customHeight="1" x14ac:dyDescent="0.2">
      <c r="A144" s="387" t="s">
        <v>351</v>
      </c>
      <c r="B144" s="318"/>
      <c r="C144" s="318"/>
      <c r="D144" s="318"/>
      <c r="E144" s="318"/>
      <c r="F144" s="318"/>
      <c r="G144" s="318"/>
      <c r="H144" s="318"/>
      <c r="I144" s="316"/>
      <c r="J144" s="178">
        <f>SUM(J138:J143)</f>
        <v>0</v>
      </c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 customHeight="1" x14ac:dyDescent="0.2">
      <c r="A145" s="151"/>
      <c r="B145" s="379"/>
      <c r="C145" s="318"/>
      <c r="D145" s="318"/>
      <c r="E145" s="318"/>
      <c r="F145" s="318"/>
      <c r="G145" s="318"/>
      <c r="H145" s="318"/>
      <c r="I145" s="316"/>
      <c r="J145" s="152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 customHeight="1" x14ac:dyDescent="0.2">
      <c r="A146" s="387" t="s">
        <v>351</v>
      </c>
      <c r="B146" s="318"/>
      <c r="C146" s="318"/>
      <c r="D146" s="318"/>
      <c r="E146" s="318"/>
      <c r="F146" s="318"/>
      <c r="G146" s="318"/>
      <c r="H146" s="318"/>
      <c r="I146" s="316"/>
      <c r="J146" s="153">
        <f>SUM(J144:J145)</f>
        <v>0</v>
      </c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66" customHeight="1" x14ac:dyDescent="0.2">
      <c r="A147" s="385" t="s">
        <v>413</v>
      </c>
      <c r="B147" s="318"/>
      <c r="C147" s="318"/>
      <c r="D147" s="318"/>
      <c r="E147" s="318"/>
      <c r="F147" s="318"/>
      <c r="G147" s="318"/>
      <c r="H147" s="318"/>
      <c r="I147" s="318"/>
      <c r="J147" s="316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 customHeight="1" x14ac:dyDescent="0.2">
      <c r="A148" s="383"/>
      <c r="B148" s="318"/>
      <c r="C148" s="318"/>
      <c r="D148" s="318"/>
      <c r="E148" s="318"/>
      <c r="F148" s="318"/>
      <c r="G148" s="318"/>
      <c r="H148" s="318"/>
      <c r="I148" s="318"/>
      <c r="J148" s="316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 x14ac:dyDescent="0.2">
      <c r="A149" s="376" t="s">
        <v>414</v>
      </c>
      <c r="B149" s="318"/>
      <c r="C149" s="318"/>
      <c r="D149" s="318"/>
      <c r="E149" s="318"/>
      <c r="F149" s="318"/>
      <c r="G149" s="318"/>
      <c r="H149" s="318"/>
      <c r="I149" s="318"/>
      <c r="J149" s="316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 customHeight="1" x14ac:dyDescent="0.2">
      <c r="A150" s="154" t="s">
        <v>415</v>
      </c>
      <c r="B150" s="388" t="s">
        <v>416</v>
      </c>
      <c r="C150" s="318"/>
      <c r="D150" s="318"/>
      <c r="E150" s="318"/>
      <c r="F150" s="318"/>
      <c r="G150" s="318"/>
      <c r="H150" s="318"/>
      <c r="I150" s="316"/>
      <c r="J150" s="179" t="s">
        <v>348</v>
      </c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 customHeight="1" x14ac:dyDescent="0.2">
      <c r="A151" s="149" t="s">
        <v>278</v>
      </c>
      <c r="B151" s="379" t="s">
        <v>417</v>
      </c>
      <c r="C151" s="318"/>
      <c r="D151" s="318"/>
      <c r="E151" s="318"/>
      <c r="F151" s="318"/>
      <c r="G151" s="318"/>
      <c r="H151" s="318"/>
      <c r="I151" s="316"/>
      <c r="J151" s="156">
        <v>0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 customHeight="1" x14ac:dyDescent="0.2">
      <c r="A152" s="420" t="s">
        <v>351</v>
      </c>
      <c r="B152" s="318"/>
      <c r="C152" s="318"/>
      <c r="D152" s="318"/>
      <c r="E152" s="318"/>
      <c r="F152" s="318"/>
      <c r="G152" s="318"/>
      <c r="H152" s="318"/>
      <c r="I152" s="316"/>
      <c r="J152" s="156">
        <v>0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 customHeight="1" x14ac:dyDescent="0.2">
      <c r="A153" s="151" t="s">
        <v>280</v>
      </c>
      <c r="B153" s="379" t="s">
        <v>418</v>
      </c>
      <c r="C153" s="318"/>
      <c r="D153" s="318"/>
      <c r="E153" s="318"/>
      <c r="F153" s="318"/>
      <c r="G153" s="318"/>
      <c r="H153" s="318"/>
      <c r="I153" s="316"/>
      <c r="J153" s="152">
        <f>ROUND(I93*J152,2)</f>
        <v>0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 customHeight="1" x14ac:dyDescent="0.2">
      <c r="A154" s="387" t="s">
        <v>351</v>
      </c>
      <c r="B154" s="318"/>
      <c r="C154" s="318"/>
      <c r="D154" s="318"/>
      <c r="E154" s="318"/>
      <c r="F154" s="318"/>
      <c r="G154" s="318"/>
      <c r="H154" s="318"/>
      <c r="I154" s="316"/>
      <c r="J154" s="153">
        <f>SUM(J152:J153)</f>
        <v>0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 customHeight="1" x14ac:dyDescent="0.2">
      <c r="A155" s="383"/>
      <c r="B155" s="318"/>
      <c r="C155" s="318"/>
      <c r="D155" s="318"/>
      <c r="E155" s="318"/>
      <c r="F155" s="318"/>
      <c r="G155" s="318"/>
      <c r="H155" s="318"/>
      <c r="I155" s="318"/>
      <c r="J155" s="316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25.5" customHeight="1" x14ac:dyDescent="0.2">
      <c r="A156" s="385" t="s">
        <v>419</v>
      </c>
      <c r="B156" s="318"/>
      <c r="C156" s="318"/>
      <c r="D156" s="318"/>
      <c r="E156" s="318"/>
      <c r="F156" s="318"/>
      <c r="G156" s="318"/>
      <c r="H156" s="318"/>
      <c r="I156" s="318"/>
      <c r="J156" s="316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 customHeight="1" x14ac:dyDescent="0.2">
      <c r="A157" s="383"/>
      <c r="B157" s="318"/>
      <c r="C157" s="318"/>
      <c r="D157" s="318"/>
      <c r="E157" s="318"/>
      <c r="F157" s="318"/>
      <c r="G157" s="318"/>
      <c r="H157" s="318"/>
      <c r="I157" s="318"/>
      <c r="J157" s="316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 x14ac:dyDescent="0.2">
      <c r="A158" s="376" t="s">
        <v>420</v>
      </c>
      <c r="B158" s="318"/>
      <c r="C158" s="318"/>
      <c r="D158" s="318"/>
      <c r="E158" s="318"/>
      <c r="F158" s="318"/>
      <c r="G158" s="318"/>
      <c r="H158" s="318"/>
      <c r="I158" s="318"/>
      <c r="J158" s="316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 x14ac:dyDescent="0.2">
      <c r="A159" s="142">
        <v>4</v>
      </c>
      <c r="B159" s="373" t="s">
        <v>421</v>
      </c>
      <c r="C159" s="318"/>
      <c r="D159" s="318"/>
      <c r="E159" s="318"/>
      <c r="F159" s="318"/>
      <c r="G159" s="318"/>
      <c r="H159" s="318"/>
      <c r="I159" s="316"/>
      <c r="J159" s="179" t="s">
        <v>348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4.25" customHeight="1" x14ac:dyDescent="0.2">
      <c r="A160" s="138" t="s">
        <v>405</v>
      </c>
      <c r="B160" s="358" t="s">
        <v>406</v>
      </c>
      <c r="C160" s="318"/>
      <c r="D160" s="318"/>
      <c r="E160" s="318"/>
      <c r="F160" s="318"/>
      <c r="G160" s="318"/>
      <c r="H160" s="318"/>
      <c r="I160" s="316"/>
      <c r="J160" s="156">
        <f>J146</f>
        <v>0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4.25" customHeight="1" x14ac:dyDescent="0.2">
      <c r="A161" s="138" t="s">
        <v>422</v>
      </c>
      <c r="B161" s="358" t="s">
        <v>416</v>
      </c>
      <c r="C161" s="318"/>
      <c r="D161" s="318"/>
      <c r="E161" s="318"/>
      <c r="F161" s="318"/>
      <c r="G161" s="318"/>
      <c r="H161" s="318"/>
      <c r="I161" s="316"/>
      <c r="J161" s="156">
        <f>J154</f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4.25" customHeight="1" x14ac:dyDescent="0.2">
      <c r="A162" s="374" t="s">
        <v>351</v>
      </c>
      <c r="B162" s="318"/>
      <c r="C162" s="318"/>
      <c r="D162" s="318"/>
      <c r="E162" s="318"/>
      <c r="F162" s="318"/>
      <c r="G162" s="318"/>
      <c r="H162" s="318"/>
      <c r="I162" s="316"/>
      <c r="J162" s="153">
        <f>SUM(J160+J161)</f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 customHeight="1" x14ac:dyDescent="0.2">
      <c r="A163" s="368"/>
      <c r="B163" s="318"/>
      <c r="C163" s="318"/>
      <c r="D163" s="318"/>
      <c r="E163" s="318"/>
      <c r="F163" s="318"/>
      <c r="G163" s="318"/>
      <c r="H163" s="318"/>
      <c r="I163" s="318"/>
      <c r="J163" s="316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 x14ac:dyDescent="0.2">
      <c r="A164" s="376" t="s">
        <v>423</v>
      </c>
      <c r="B164" s="318"/>
      <c r="C164" s="318"/>
      <c r="D164" s="318"/>
      <c r="E164" s="318"/>
      <c r="F164" s="318"/>
      <c r="G164" s="318"/>
      <c r="H164" s="318"/>
      <c r="I164" s="318"/>
      <c r="J164" s="316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 customHeight="1" x14ac:dyDescent="0.2">
      <c r="A165" s="154">
        <v>5</v>
      </c>
      <c r="B165" s="388" t="s">
        <v>424</v>
      </c>
      <c r="C165" s="318"/>
      <c r="D165" s="318"/>
      <c r="E165" s="318"/>
      <c r="F165" s="318"/>
      <c r="G165" s="318"/>
      <c r="H165" s="318"/>
      <c r="I165" s="316"/>
      <c r="J165" s="154" t="s">
        <v>348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 customHeight="1" x14ac:dyDescent="0.2">
      <c r="A166" s="149" t="s">
        <v>278</v>
      </c>
      <c r="B166" s="379" t="s">
        <v>425</v>
      </c>
      <c r="C166" s="318"/>
      <c r="D166" s="318"/>
      <c r="E166" s="318"/>
      <c r="F166" s="318"/>
      <c r="G166" s="318"/>
      <c r="H166" s="318"/>
      <c r="I166" s="316"/>
      <c r="J166" s="180">
        <f>Insumos!F124</f>
        <v>0</v>
      </c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 customHeight="1" x14ac:dyDescent="0.2">
      <c r="A167" s="149" t="s">
        <v>280</v>
      </c>
      <c r="B167" s="379" t="s">
        <v>426</v>
      </c>
      <c r="C167" s="318"/>
      <c r="D167" s="318"/>
      <c r="E167" s="318"/>
      <c r="F167" s="318"/>
      <c r="G167" s="318"/>
      <c r="H167" s="318"/>
      <c r="I167" s="316"/>
      <c r="J167" s="170" t="e">
        <f>Insumos!F120</f>
        <v>#DIV/0!</v>
      </c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 customHeight="1" x14ac:dyDescent="0.2">
      <c r="A168" s="149" t="s">
        <v>282</v>
      </c>
      <c r="B168" s="379" t="s">
        <v>427</v>
      </c>
      <c r="C168" s="318"/>
      <c r="D168" s="318"/>
      <c r="E168" s="318"/>
      <c r="F168" s="318"/>
      <c r="G168" s="318"/>
      <c r="H168" s="318"/>
      <c r="I168" s="316"/>
      <c r="J168" s="170" t="e">
        <f>Insumos!F122</f>
        <v>#DIV/0!</v>
      </c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 customHeight="1" x14ac:dyDescent="0.2">
      <c r="A169" s="149" t="s">
        <v>284</v>
      </c>
      <c r="B169" s="379" t="s">
        <v>428</v>
      </c>
      <c r="C169" s="318"/>
      <c r="D169" s="318"/>
      <c r="E169" s="318"/>
      <c r="F169" s="318"/>
      <c r="G169" s="318"/>
      <c r="H169" s="318"/>
      <c r="I169" s="316"/>
      <c r="J169" s="169" t="s">
        <v>429</v>
      </c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 customHeight="1" x14ac:dyDescent="0.2">
      <c r="A170" s="387" t="s">
        <v>342</v>
      </c>
      <c r="B170" s="318"/>
      <c r="C170" s="318"/>
      <c r="D170" s="318"/>
      <c r="E170" s="318"/>
      <c r="F170" s="318"/>
      <c r="G170" s="318"/>
      <c r="H170" s="318"/>
      <c r="I170" s="316"/>
      <c r="J170" s="181" t="e">
        <f>SUM(J166:J169)</f>
        <v>#DIV/0!</v>
      </c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 customHeight="1" x14ac:dyDescent="0.2">
      <c r="A171" s="368"/>
      <c r="B171" s="318"/>
      <c r="C171" s="318"/>
      <c r="D171" s="318"/>
      <c r="E171" s="318"/>
      <c r="F171" s="318"/>
      <c r="G171" s="318"/>
      <c r="H171" s="318"/>
      <c r="I171" s="318"/>
      <c r="J171" s="316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4.25" customHeight="1" x14ac:dyDescent="0.2">
      <c r="A172" s="385" t="s">
        <v>430</v>
      </c>
      <c r="B172" s="318"/>
      <c r="C172" s="318"/>
      <c r="D172" s="318"/>
      <c r="E172" s="318"/>
      <c r="F172" s="318"/>
      <c r="G172" s="318"/>
      <c r="H172" s="318"/>
      <c r="I172" s="318"/>
      <c r="J172" s="316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 customHeight="1" x14ac:dyDescent="0.2">
      <c r="A173" s="368"/>
      <c r="B173" s="318"/>
      <c r="C173" s="318"/>
      <c r="D173" s="318"/>
      <c r="E173" s="318"/>
      <c r="F173" s="318"/>
      <c r="G173" s="318"/>
      <c r="H173" s="318"/>
      <c r="I173" s="318"/>
      <c r="J173" s="316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 x14ac:dyDescent="0.2">
      <c r="A174" s="376" t="s">
        <v>431</v>
      </c>
      <c r="B174" s="318"/>
      <c r="C174" s="318"/>
      <c r="D174" s="318"/>
      <c r="E174" s="318"/>
      <c r="F174" s="318"/>
      <c r="G174" s="318"/>
      <c r="H174" s="318"/>
      <c r="I174" s="318"/>
      <c r="J174" s="316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 customHeight="1" x14ac:dyDescent="0.2">
      <c r="A175" s="154">
        <v>6</v>
      </c>
      <c r="B175" s="388" t="s">
        <v>432</v>
      </c>
      <c r="C175" s="318"/>
      <c r="D175" s="318"/>
      <c r="E175" s="318"/>
      <c r="F175" s="318"/>
      <c r="G175" s="318"/>
      <c r="H175" s="316"/>
      <c r="I175" s="142" t="s">
        <v>356</v>
      </c>
      <c r="J175" s="182" t="s">
        <v>433</v>
      </c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51" customHeight="1" x14ac:dyDescent="0.2">
      <c r="A176" s="355" t="s">
        <v>434</v>
      </c>
      <c r="B176" s="318"/>
      <c r="C176" s="318"/>
      <c r="D176" s="318"/>
      <c r="E176" s="318"/>
      <c r="F176" s="318"/>
      <c r="G176" s="318"/>
      <c r="H176" s="316"/>
      <c r="I176" s="183" t="s">
        <v>375</v>
      </c>
      <c r="J176" s="141" t="e">
        <f>SUM(J68+J121+J131+J162+J170)</f>
        <v>#DIV/0!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 customHeight="1" x14ac:dyDescent="0.2">
      <c r="A177" s="184" t="s">
        <v>278</v>
      </c>
      <c r="B177" s="407" t="s">
        <v>435</v>
      </c>
      <c r="C177" s="318"/>
      <c r="D177" s="318"/>
      <c r="E177" s="318"/>
      <c r="F177" s="318"/>
      <c r="G177" s="318"/>
      <c r="H177" s="316"/>
      <c r="I177" s="185">
        <f>'Aba Carregamento'!B99</f>
        <v>0</v>
      </c>
      <c r="J177" s="156" t="e">
        <f>ROUND(I177*J176,2)</f>
        <v>#DIV/0!</v>
      </c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51" customHeight="1" x14ac:dyDescent="0.2">
      <c r="A178" s="355" t="s">
        <v>436</v>
      </c>
      <c r="B178" s="318"/>
      <c r="C178" s="318"/>
      <c r="D178" s="318"/>
      <c r="E178" s="318"/>
      <c r="F178" s="318"/>
      <c r="G178" s="318"/>
      <c r="H178" s="316"/>
      <c r="I178" s="186" t="s">
        <v>375</v>
      </c>
      <c r="J178" s="141" t="e">
        <f>SUM(J68+J121+J131+J162+J170+J177)</f>
        <v>#DIV/0!</v>
      </c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 customHeight="1" x14ac:dyDescent="0.2">
      <c r="A179" s="184" t="s">
        <v>280</v>
      </c>
      <c r="B179" s="407" t="s">
        <v>86</v>
      </c>
      <c r="C179" s="318"/>
      <c r="D179" s="318"/>
      <c r="E179" s="318"/>
      <c r="F179" s="318"/>
      <c r="G179" s="318"/>
      <c r="H179" s="316"/>
      <c r="I179" s="185">
        <f>'Aba Carregamento'!B100</f>
        <v>0</v>
      </c>
      <c r="J179" s="156" t="e">
        <f>ROUND(I179*J178,2)</f>
        <v>#DIV/0!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51" customHeight="1" x14ac:dyDescent="0.2">
      <c r="A180" s="355" t="s">
        <v>437</v>
      </c>
      <c r="B180" s="318"/>
      <c r="C180" s="318"/>
      <c r="D180" s="318"/>
      <c r="E180" s="318"/>
      <c r="F180" s="318"/>
      <c r="G180" s="318"/>
      <c r="H180" s="316"/>
      <c r="I180" s="186" t="s">
        <v>375</v>
      </c>
      <c r="J180" s="141" t="e">
        <f>SUM(J68+J121+J131+J162+J170+J177+J179)</f>
        <v>#DIV/0!</v>
      </c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 x14ac:dyDescent="0.2">
      <c r="A181" s="184" t="s">
        <v>282</v>
      </c>
      <c r="B181" s="407" t="s">
        <v>438</v>
      </c>
      <c r="C181" s="318"/>
      <c r="D181" s="318"/>
      <c r="E181" s="318"/>
      <c r="F181" s="318"/>
      <c r="G181" s="318"/>
      <c r="H181" s="316"/>
      <c r="I181" s="187" t="s">
        <v>375</v>
      </c>
      <c r="J181" s="163" t="s">
        <v>375</v>
      </c>
      <c r="K181" s="61"/>
      <c r="L181" s="421" t="s">
        <v>439</v>
      </c>
      <c r="M181" s="289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 x14ac:dyDescent="0.2">
      <c r="A182" s="149"/>
      <c r="B182" s="379" t="s">
        <v>440</v>
      </c>
      <c r="C182" s="318"/>
      <c r="D182" s="318"/>
      <c r="E182" s="318"/>
      <c r="F182" s="318"/>
      <c r="G182" s="318"/>
      <c r="H182" s="316"/>
      <c r="I182" s="187" t="s">
        <v>375</v>
      </c>
      <c r="J182" s="163" t="s">
        <v>375</v>
      </c>
      <c r="K182" s="188"/>
      <c r="L182" s="189" t="s">
        <v>441</v>
      </c>
      <c r="M182" s="189" t="s">
        <v>442</v>
      </c>
      <c r="N182" s="190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 customHeight="1" x14ac:dyDescent="0.2">
      <c r="A183" s="149"/>
      <c r="B183" s="379" t="s">
        <v>443</v>
      </c>
      <c r="C183" s="318"/>
      <c r="D183" s="318"/>
      <c r="E183" s="318"/>
      <c r="F183" s="318"/>
      <c r="G183" s="318"/>
      <c r="H183" s="316"/>
      <c r="I183" s="191">
        <f>'Aba Carregamento'!B103</f>
        <v>0</v>
      </c>
      <c r="J183" s="156" t="e">
        <f t="shared" ref="J183:J184" si="2">ROUND(($J$180/(1-$I$192))*I183,2)</f>
        <v>#DIV/0!</v>
      </c>
      <c r="K183" s="188" t="s">
        <v>444</v>
      </c>
      <c r="L183" s="192">
        <v>0.03</v>
      </c>
      <c r="M183" s="192">
        <v>7.5999999999999998E-2</v>
      </c>
      <c r="N183" s="190">
        <f>IF('Aba Carregamento'!B66&lt;&gt;"",'Valor posto 20%'!L183,0)</f>
        <v>0</v>
      </c>
      <c r="O183" s="190">
        <f>IF('Aba Carregamento'!B67&lt;&gt;"",'Valor posto 20%'!M183,0)</f>
        <v>0</v>
      </c>
      <c r="P183" s="190">
        <f t="shared" ref="P183:P184" si="3">N183+O183</f>
        <v>0</v>
      </c>
      <c r="Q183" s="190" t="s">
        <v>445</v>
      </c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 customHeight="1" x14ac:dyDescent="0.2">
      <c r="A184" s="149"/>
      <c r="B184" s="379" t="s">
        <v>446</v>
      </c>
      <c r="C184" s="318"/>
      <c r="D184" s="318"/>
      <c r="E184" s="318"/>
      <c r="F184" s="318"/>
      <c r="G184" s="318"/>
      <c r="H184" s="316"/>
      <c r="I184" s="191">
        <f>'Aba Carregamento'!B102</f>
        <v>0</v>
      </c>
      <c r="J184" s="156" t="e">
        <f t="shared" si="2"/>
        <v>#DIV/0!</v>
      </c>
      <c r="K184" s="188" t="s">
        <v>88</v>
      </c>
      <c r="L184" s="192">
        <v>6.4999999999999997E-3</v>
      </c>
      <c r="M184" s="192">
        <v>1.6500000000000001E-2</v>
      </c>
      <c r="N184" s="190">
        <f>IF('Aba Carregamento'!B66&lt;&gt;"",'Valor posto 20%'!L184,0)</f>
        <v>0</v>
      </c>
      <c r="O184" s="190">
        <f>IF('Aba Carregamento'!B67&lt;&gt;"",'Valor posto 20%'!M184,0)</f>
        <v>0</v>
      </c>
      <c r="P184" s="190">
        <f t="shared" si="3"/>
        <v>0</v>
      </c>
      <c r="Q184" s="190" t="str">
        <f>IF(P184&gt;1.65%,"Marque apenas 1 opção","")</f>
        <v/>
      </c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27" customHeight="1" x14ac:dyDescent="0.2">
      <c r="A185" s="149"/>
      <c r="B185" s="358" t="s">
        <v>447</v>
      </c>
      <c r="C185" s="318"/>
      <c r="D185" s="318"/>
      <c r="E185" s="318"/>
      <c r="F185" s="318"/>
      <c r="G185" s="318"/>
      <c r="H185" s="316"/>
      <c r="I185" s="193" t="s">
        <v>375</v>
      </c>
      <c r="J185" s="163" t="s">
        <v>375</v>
      </c>
      <c r="K185" s="194"/>
      <c r="L185" s="61"/>
      <c r="M185" s="61"/>
      <c r="N185" s="190"/>
      <c r="O185" s="190"/>
      <c r="P185" s="190"/>
      <c r="Q185" s="190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27" customHeight="1" x14ac:dyDescent="0.2">
      <c r="A186" s="149"/>
      <c r="B186" s="358" t="s">
        <v>448</v>
      </c>
      <c r="C186" s="318"/>
      <c r="D186" s="318"/>
      <c r="E186" s="318"/>
      <c r="F186" s="318"/>
      <c r="G186" s="318"/>
      <c r="H186" s="316"/>
      <c r="I186" s="193" t="s">
        <v>375</v>
      </c>
      <c r="J186" s="163" t="s">
        <v>375</v>
      </c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 x14ac:dyDescent="0.2">
      <c r="A187" s="149"/>
      <c r="B187" s="379" t="s">
        <v>449</v>
      </c>
      <c r="C187" s="318"/>
      <c r="D187" s="318"/>
      <c r="E187" s="318"/>
      <c r="F187" s="318"/>
      <c r="G187" s="318"/>
      <c r="H187" s="316"/>
      <c r="I187" s="193" t="s">
        <v>375</v>
      </c>
      <c r="J187" s="163" t="s">
        <v>375</v>
      </c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 customHeight="1" x14ac:dyDescent="0.2">
      <c r="A188" s="149"/>
      <c r="B188" s="379" t="s">
        <v>450</v>
      </c>
      <c r="C188" s="318"/>
      <c r="D188" s="318"/>
      <c r="E188" s="318"/>
      <c r="F188" s="318"/>
      <c r="G188" s="318"/>
      <c r="H188" s="316"/>
      <c r="I188" s="193" t="s">
        <v>375</v>
      </c>
      <c r="J188" s="163" t="s">
        <v>375</v>
      </c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 x14ac:dyDescent="0.2">
      <c r="A189" s="149"/>
      <c r="B189" s="379" t="s">
        <v>451</v>
      </c>
      <c r="C189" s="318"/>
      <c r="D189" s="318"/>
      <c r="E189" s="318"/>
      <c r="F189" s="318"/>
      <c r="G189" s="318"/>
      <c r="H189" s="316"/>
      <c r="I189" s="195">
        <f>'Aba Carregamento'!B101</f>
        <v>0</v>
      </c>
      <c r="J189" s="156" t="e">
        <f>ROUND(($J$180/(1-$I$192))*I189,2)</f>
        <v>#DIV/0!</v>
      </c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 customHeight="1" x14ac:dyDescent="0.2">
      <c r="A190" s="387" t="s">
        <v>351</v>
      </c>
      <c r="B190" s="318"/>
      <c r="C190" s="318"/>
      <c r="D190" s="318"/>
      <c r="E190" s="318"/>
      <c r="F190" s="318"/>
      <c r="G190" s="318"/>
      <c r="H190" s="318"/>
      <c r="I190" s="316"/>
      <c r="J190" s="153" t="e">
        <f>SUM(J177+J179+J183+J184+J189)</f>
        <v>#DIV/0!</v>
      </c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 x14ac:dyDescent="0.2">
      <c r="A191" s="368"/>
      <c r="B191" s="318"/>
      <c r="C191" s="318"/>
      <c r="D191" s="318"/>
      <c r="E191" s="318"/>
      <c r="F191" s="318"/>
      <c r="G191" s="318"/>
      <c r="H191" s="318"/>
      <c r="I191" s="318"/>
      <c r="J191" s="316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4.25" customHeight="1" x14ac:dyDescent="0.2">
      <c r="A192" s="384" t="s">
        <v>452</v>
      </c>
      <c r="B192" s="318"/>
      <c r="C192" s="318"/>
      <c r="D192" s="318"/>
      <c r="E192" s="318"/>
      <c r="F192" s="318"/>
      <c r="G192" s="318"/>
      <c r="H192" s="316"/>
      <c r="I192" s="196">
        <f t="shared" ref="I192:J192" si="4">SUM(I183:I189)</f>
        <v>0</v>
      </c>
      <c r="J192" s="141" t="e">
        <f t="shared" si="4"/>
        <v>#DIV/0!</v>
      </c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 x14ac:dyDescent="0.2">
      <c r="A193" s="408" t="s">
        <v>453</v>
      </c>
      <c r="B193" s="409"/>
      <c r="C193" s="410"/>
      <c r="D193" s="416" t="s">
        <v>454</v>
      </c>
      <c r="E193" s="318"/>
      <c r="F193" s="318"/>
      <c r="G193" s="318"/>
      <c r="H193" s="318"/>
      <c r="I193" s="318"/>
      <c r="J193" s="316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 x14ac:dyDescent="0.2">
      <c r="A194" s="411"/>
      <c r="B194" s="311"/>
      <c r="C194" s="412"/>
      <c r="D194" s="416" t="s">
        <v>455</v>
      </c>
      <c r="E194" s="318"/>
      <c r="F194" s="318"/>
      <c r="G194" s="318"/>
      <c r="H194" s="318"/>
      <c r="I194" s="318"/>
      <c r="J194" s="316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 x14ac:dyDescent="0.2">
      <c r="A195" s="413"/>
      <c r="B195" s="414"/>
      <c r="C195" s="415"/>
      <c r="D195" s="416" t="s">
        <v>456</v>
      </c>
      <c r="E195" s="318"/>
      <c r="F195" s="318"/>
      <c r="G195" s="318"/>
      <c r="H195" s="318"/>
      <c r="I195" s="318"/>
      <c r="J195" s="316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 customHeight="1" x14ac:dyDescent="0.2">
      <c r="A196" s="368"/>
      <c r="B196" s="318"/>
      <c r="C196" s="318"/>
      <c r="D196" s="318"/>
      <c r="E196" s="318"/>
      <c r="F196" s="318"/>
      <c r="G196" s="318"/>
      <c r="H196" s="318"/>
      <c r="I196" s="318"/>
      <c r="J196" s="316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27" customHeight="1" x14ac:dyDescent="0.2">
      <c r="A197" s="353" t="s">
        <v>457</v>
      </c>
      <c r="B197" s="318"/>
      <c r="C197" s="318"/>
      <c r="D197" s="318"/>
      <c r="E197" s="318"/>
      <c r="F197" s="318"/>
      <c r="G197" s="318"/>
      <c r="H197" s="318"/>
      <c r="I197" s="318"/>
      <c r="J197" s="316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 customHeight="1" x14ac:dyDescent="0.2">
      <c r="A198" s="368"/>
      <c r="B198" s="318"/>
      <c r="C198" s="318"/>
      <c r="D198" s="318"/>
      <c r="E198" s="318"/>
      <c r="F198" s="318"/>
      <c r="G198" s="318"/>
      <c r="H198" s="318"/>
      <c r="I198" s="318"/>
      <c r="J198" s="316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45.75" customHeight="1" x14ac:dyDescent="0.2">
      <c r="A199" s="417" t="s">
        <v>458</v>
      </c>
      <c r="B199" s="318"/>
      <c r="C199" s="318"/>
      <c r="D199" s="318"/>
      <c r="E199" s="318"/>
      <c r="F199" s="318"/>
      <c r="G199" s="318"/>
      <c r="H199" s="318"/>
      <c r="I199" s="318"/>
      <c r="J199" s="316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4.25" customHeight="1" x14ac:dyDescent="0.2">
      <c r="A200" s="418" t="s">
        <v>459</v>
      </c>
      <c r="B200" s="318"/>
      <c r="C200" s="318"/>
      <c r="D200" s="318"/>
      <c r="E200" s="318"/>
      <c r="F200" s="318"/>
      <c r="G200" s="318"/>
      <c r="H200" s="318"/>
      <c r="I200" s="316"/>
      <c r="J200" s="197" t="s">
        <v>348</v>
      </c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4.25" customHeight="1" x14ac:dyDescent="0.2">
      <c r="A201" s="198" t="s">
        <v>278</v>
      </c>
      <c r="B201" s="419" t="s">
        <v>460</v>
      </c>
      <c r="C201" s="318"/>
      <c r="D201" s="318"/>
      <c r="E201" s="318"/>
      <c r="F201" s="318"/>
      <c r="G201" s="318"/>
      <c r="H201" s="318"/>
      <c r="I201" s="316"/>
      <c r="J201" s="169">
        <f>J68</f>
        <v>0</v>
      </c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4.25" customHeight="1" x14ac:dyDescent="0.2">
      <c r="A202" s="198" t="s">
        <v>280</v>
      </c>
      <c r="B202" s="419" t="s">
        <v>344</v>
      </c>
      <c r="C202" s="318"/>
      <c r="D202" s="318"/>
      <c r="E202" s="318"/>
      <c r="F202" s="318"/>
      <c r="G202" s="318"/>
      <c r="H202" s="318"/>
      <c r="I202" s="316"/>
      <c r="J202" s="169">
        <f>J121</f>
        <v>0</v>
      </c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4.25" customHeight="1" x14ac:dyDescent="0.2">
      <c r="A203" s="198" t="s">
        <v>282</v>
      </c>
      <c r="B203" s="419" t="s">
        <v>461</v>
      </c>
      <c r="C203" s="318"/>
      <c r="D203" s="318"/>
      <c r="E203" s="318"/>
      <c r="F203" s="318"/>
      <c r="G203" s="318"/>
      <c r="H203" s="318"/>
      <c r="I203" s="316"/>
      <c r="J203" s="169">
        <f>J131</f>
        <v>0</v>
      </c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4.25" customHeight="1" x14ac:dyDescent="0.2">
      <c r="A204" s="198" t="s">
        <v>284</v>
      </c>
      <c r="B204" s="419" t="s">
        <v>462</v>
      </c>
      <c r="C204" s="318"/>
      <c r="D204" s="318"/>
      <c r="E204" s="318"/>
      <c r="F204" s="318"/>
      <c r="G204" s="318"/>
      <c r="H204" s="318"/>
      <c r="I204" s="316"/>
      <c r="J204" s="169">
        <f>J162</f>
        <v>0</v>
      </c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4.25" customHeight="1" x14ac:dyDescent="0.2">
      <c r="A205" s="198" t="s">
        <v>336</v>
      </c>
      <c r="B205" s="419" t="s">
        <v>463</v>
      </c>
      <c r="C205" s="318"/>
      <c r="D205" s="318"/>
      <c r="E205" s="318"/>
      <c r="F205" s="318"/>
      <c r="G205" s="318"/>
      <c r="H205" s="318"/>
      <c r="I205" s="316"/>
      <c r="J205" s="169" t="e">
        <f>J170</f>
        <v>#DIV/0!</v>
      </c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4.25" customHeight="1" x14ac:dyDescent="0.2">
      <c r="A206" s="422" t="s">
        <v>464</v>
      </c>
      <c r="B206" s="318"/>
      <c r="C206" s="318"/>
      <c r="D206" s="318"/>
      <c r="E206" s="318"/>
      <c r="F206" s="318"/>
      <c r="G206" s="318"/>
      <c r="H206" s="318"/>
      <c r="I206" s="316"/>
      <c r="J206" s="181" t="e">
        <f>SUM(J201:J205)</f>
        <v>#DIV/0!</v>
      </c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4.25" customHeight="1" x14ac:dyDescent="0.2">
      <c r="A207" s="198" t="s">
        <v>338</v>
      </c>
      <c r="B207" s="419" t="s">
        <v>465</v>
      </c>
      <c r="C207" s="318"/>
      <c r="D207" s="318"/>
      <c r="E207" s="318"/>
      <c r="F207" s="318"/>
      <c r="G207" s="318"/>
      <c r="H207" s="318"/>
      <c r="I207" s="316"/>
      <c r="J207" s="169" t="e">
        <f>J190</f>
        <v>#DIV/0!</v>
      </c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4.25" customHeight="1" x14ac:dyDescent="0.2">
      <c r="A208" s="422" t="s">
        <v>466</v>
      </c>
      <c r="B208" s="318"/>
      <c r="C208" s="318"/>
      <c r="D208" s="318"/>
      <c r="E208" s="318"/>
      <c r="F208" s="318"/>
      <c r="G208" s="318"/>
      <c r="H208" s="318"/>
      <c r="I208" s="316"/>
      <c r="J208" s="181" t="e">
        <f>ROUND(SUM(J206:J207),2)</f>
        <v>#DIV/0!</v>
      </c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6.5" customHeight="1" x14ac:dyDescent="0.2">
      <c r="A209" s="426" t="s">
        <v>467</v>
      </c>
      <c r="B209" s="318"/>
      <c r="C209" s="318"/>
      <c r="D209" s="318"/>
      <c r="E209" s="318"/>
      <c r="F209" s="318"/>
      <c r="G209" s="318"/>
      <c r="H209" s="318"/>
      <c r="I209" s="318"/>
      <c r="J209" s="316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4.25" customHeight="1" x14ac:dyDescent="0.2">
      <c r="A210" s="358" t="s">
        <v>468</v>
      </c>
      <c r="B210" s="318"/>
      <c r="C210" s="318"/>
      <c r="D210" s="318"/>
      <c r="E210" s="318"/>
      <c r="F210" s="318"/>
      <c r="G210" s="318"/>
      <c r="H210" s="318"/>
      <c r="I210" s="318"/>
      <c r="J210" s="316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31.5" customHeight="1" x14ac:dyDescent="0.2">
      <c r="A211" s="358" t="s">
        <v>469</v>
      </c>
      <c r="B211" s="318"/>
      <c r="C211" s="318"/>
      <c r="D211" s="318"/>
      <c r="E211" s="318"/>
      <c r="F211" s="318"/>
      <c r="G211" s="318"/>
      <c r="H211" s="318"/>
      <c r="I211" s="318"/>
      <c r="J211" s="316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39" customHeight="1" x14ac:dyDescent="0.2">
      <c r="A212" s="427" t="s">
        <v>470</v>
      </c>
      <c r="B212" s="318"/>
      <c r="C212" s="316"/>
      <c r="D212" s="427" t="s">
        <v>471</v>
      </c>
      <c r="E212" s="318"/>
      <c r="F212" s="316"/>
      <c r="G212" s="365" t="s">
        <v>472</v>
      </c>
      <c r="H212" s="316"/>
      <c r="I212" s="365" t="s">
        <v>473</v>
      </c>
      <c r="J212" s="316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4.25" customHeight="1" x14ac:dyDescent="0.2">
      <c r="A213" s="353" t="s">
        <v>474</v>
      </c>
      <c r="B213" s="318"/>
      <c r="C213" s="316"/>
      <c r="D213" s="199">
        <v>1</v>
      </c>
      <c r="E213" s="183">
        <v>30</v>
      </c>
      <c r="F213" s="200">
        <f>E214</f>
        <v>0</v>
      </c>
      <c r="G213" s="423">
        <v>0</v>
      </c>
      <c r="H213" s="316"/>
      <c r="I213" s="425">
        <v>0</v>
      </c>
      <c r="J213" s="316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4.25" customHeight="1" x14ac:dyDescent="0.2">
      <c r="A214" s="353" t="s">
        <v>475</v>
      </c>
      <c r="B214" s="318"/>
      <c r="C214" s="316"/>
      <c r="D214" s="199">
        <v>1</v>
      </c>
      <c r="E214" s="428">
        <f>'Qtd postos 20%'!C3</f>
        <v>0</v>
      </c>
      <c r="F214" s="316"/>
      <c r="G214" s="424" t="e">
        <f>J208</f>
        <v>#DIV/0!</v>
      </c>
      <c r="H214" s="316"/>
      <c r="I214" s="425" t="e">
        <f>ROUND((D214/E214)*G214,2)</f>
        <v>#DIV/0!</v>
      </c>
      <c r="J214" s="316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4.25" customHeight="1" x14ac:dyDescent="0.2">
      <c r="A215" s="429" t="s">
        <v>476</v>
      </c>
      <c r="B215" s="318"/>
      <c r="C215" s="318"/>
      <c r="D215" s="318"/>
      <c r="E215" s="318"/>
      <c r="F215" s="318"/>
      <c r="G215" s="318"/>
      <c r="H215" s="316"/>
      <c r="I215" s="425" t="e">
        <f>SUM(I213+I214)</f>
        <v>#DIV/0!</v>
      </c>
      <c r="J215" s="316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4.25" customHeight="1" x14ac:dyDescent="0.2">
      <c r="A216" s="430"/>
      <c r="B216" s="318"/>
      <c r="C216" s="318"/>
      <c r="D216" s="318"/>
      <c r="E216" s="318"/>
      <c r="F216" s="318"/>
      <c r="G216" s="318"/>
      <c r="H216" s="318"/>
      <c r="I216" s="318"/>
      <c r="J216" s="316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4.25" customHeight="1" x14ac:dyDescent="0.2">
      <c r="A217" s="353" t="s">
        <v>477</v>
      </c>
      <c r="B217" s="318"/>
      <c r="C217" s="316"/>
      <c r="D217" s="201">
        <v>1</v>
      </c>
      <c r="E217" s="183">
        <v>30</v>
      </c>
      <c r="F217" s="200">
        <f>E218</f>
        <v>0</v>
      </c>
      <c r="G217" s="423">
        <v>0</v>
      </c>
      <c r="H217" s="316"/>
      <c r="I217" s="425">
        <f>ROUND((D217/E217*F217)*G217,2)</f>
        <v>0</v>
      </c>
      <c r="J217" s="316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4.25" customHeight="1" x14ac:dyDescent="0.2">
      <c r="A218" s="353" t="s">
        <v>478</v>
      </c>
      <c r="B218" s="318"/>
      <c r="C218" s="316"/>
      <c r="D218" s="201">
        <v>1</v>
      </c>
      <c r="E218" s="428">
        <f>'Qtd postos 20%'!C4</f>
        <v>0</v>
      </c>
      <c r="F218" s="316"/>
      <c r="G218" s="423" t="e">
        <f>J208</f>
        <v>#DIV/0!</v>
      </c>
      <c r="H218" s="316"/>
      <c r="I218" s="425" t="e">
        <f>ROUND((D218/E218)*G218,2)</f>
        <v>#DIV/0!</v>
      </c>
      <c r="J218" s="316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4.25" customHeight="1" x14ac:dyDescent="0.2">
      <c r="A219" s="429" t="s">
        <v>476</v>
      </c>
      <c r="B219" s="318"/>
      <c r="C219" s="318"/>
      <c r="D219" s="318"/>
      <c r="E219" s="318"/>
      <c r="F219" s="318"/>
      <c r="G219" s="318"/>
      <c r="H219" s="316"/>
      <c r="I219" s="425" t="e">
        <f>SUM(I217+I218)</f>
        <v>#DIV/0!</v>
      </c>
      <c r="J219" s="316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4.25" customHeight="1" x14ac:dyDescent="0.2">
      <c r="A220" s="430"/>
      <c r="B220" s="318"/>
      <c r="C220" s="318"/>
      <c r="D220" s="318"/>
      <c r="E220" s="318"/>
      <c r="F220" s="318"/>
      <c r="G220" s="318"/>
      <c r="H220" s="318"/>
      <c r="I220" s="318"/>
      <c r="J220" s="316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4.25" customHeight="1" x14ac:dyDescent="0.2">
      <c r="A221" s="353" t="s">
        <v>479</v>
      </c>
      <c r="B221" s="318"/>
      <c r="C221" s="316"/>
      <c r="D221" s="199">
        <v>1</v>
      </c>
      <c r="E221" s="183">
        <v>30</v>
      </c>
      <c r="F221" s="200">
        <f>E222</f>
        <v>0</v>
      </c>
      <c r="G221" s="432">
        <v>0</v>
      </c>
      <c r="H221" s="316"/>
      <c r="I221" s="425">
        <f>ROUND((D221/E221*F221)*G221,2)</f>
        <v>0</v>
      </c>
      <c r="J221" s="316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4.25" customHeight="1" x14ac:dyDescent="0.2">
      <c r="A222" s="353" t="s">
        <v>480</v>
      </c>
      <c r="B222" s="318"/>
      <c r="C222" s="316"/>
      <c r="D222" s="199">
        <v>1</v>
      </c>
      <c r="E222" s="428">
        <f>'Qtd postos 20%'!C5</f>
        <v>0</v>
      </c>
      <c r="F222" s="316"/>
      <c r="G222" s="431" t="e">
        <f>J208</f>
        <v>#DIV/0!</v>
      </c>
      <c r="H222" s="316"/>
      <c r="I222" s="425" t="e">
        <f>ROUND((D222/E222)*G222,2)</f>
        <v>#DIV/0!</v>
      </c>
      <c r="J222" s="316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4.25" customHeight="1" x14ac:dyDescent="0.2">
      <c r="A223" s="429" t="s">
        <v>476</v>
      </c>
      <c r="B223" s="318"/>
      <c r="C223" s="318"/>
      <c r="D223" s="318"/>
      <c r="E223" s="318"/>
      <c r="F223" s="318"/>
      <c r="G223" s="318"/>
      <c r="H223" s="316"/>
      <c r="I223" s="425" t="e">
        <f>SUM(I221+I222)</f>
        <v>#DIV/0!</v>
      </c>
      <c r="J223" s="316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4.25" customHeight="1" x14ac:dyDescent="0.2">
      <c r="A224" s="430"/>
      <c r="B224" s="318"/>
      <c r="C224" s="318"/>
      <c r="D224" s="318"/>
      <c r="E224" s="318"/>
      <c r="F224" s="318"/>
      <c r="G224" s="318"/>
      <c r="H224" s="318"/>
      <c r="I224" s="318"/>
      <c r="J224" s="316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4.25" customHeight="1" x14ac:dyDescent="0.2">
      <c r="A225" s="385" t="s">
        <v>481</v>
      </c>
      <c r="B225" s="318"/>
      <c r="C225" s="316"/>
      <c r="D225" s="183">
        <v>1</v>
      </c>
      <c r="E225" s="183">
        <v>30</v>
      </c>
      <c r="F225" s="200">
        <f>E226</f>
        <v>0</v>
      </c>
      <c r="G225" s="423">
        <v>0</v>
      </c>
      <c r="H225" s="316"/>
      <c r="I225" s="425">
        <f>ROUND((D225/E225*F225)*G225,2)</f>
        <v>0</v>
      </c>
      <c r="J225" s="316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4.25" customHeight="1" x14ac:dyDescent="0.2">
      <c r="A226" s="385" t="s">
        <v>482</v>
      </c>
      <c r="B226" s="318"/>
      <c r="C226" s="316"/>
      <c r="D226" s="202">
        <v>1</v>
      </c>
      <c r="E226" s="428">
        <f>'Qtd postos 20%'!C6</f>
        <v>0</v>
      </c>
      <c r="F226" s="316"/>
      <c r="G226" s="424" t="e">
        <f>J208</f>
        <v>#DIV/0!</v>
      </c>
      <c r="H226" s="316"/>
      <c r="I226" s="425" t="e">
        <f>ROUND((D226/E226)*G226,2)</f>
        <v>#DIV/0!</v>
      </c>
      <c r="J226" s="316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4.25" customHeight="1" x14ac:dyDescent="0.2">
      <c r="A227" s="429" t="s">
        <v>476</v>
      </c>
      <c r="B227" s="318"/>
      <c r="C227" s="318"/>
      <c r="D227" s="318"/>
      <c r="E227" s="318"/>
      <c r="F227" s="318"/>
      <c r="G227" s="318"/>
      <c r="H227" s="316"/>
      <c r="I227" s="425" t="e">
        <f>SUM(I225+I226)</f>
        <v>#DIV/0!</v>
      </c>
      <c r="J227" s="316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4.25" customHeight="1" x14ac:dyDescent="0.2">
      <c r="A228" s="430"/>
      <c r="B228" s="318"/>
      <c r="C228" s="318"/>
      <c r="D228" s="318"/>
      <c r="E228" s="318"/>
      <c r="F228" s="318"/>
      <c r="G228" s="318"/>
      <c r="H228" s="318"/>
      <c r="I228" s="318"/>
      <c r="J228" s="316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4.25" customHeight="1" x14ac:dyDescent="0.2">
      <c r="A229" s="353" t="s">
        <v>483</v>
      </c>
      <c r="B229" s="318"/>
      <c r="C229" s="316"/>
      <c r="D229" s="199">
        <v>1</v>
      </c>
      <c r="E229" s="183">
        <v>30</v>
      </c>
      <c r="F229" s="200">
        <f>E230</f>
        <v>0</v>
      </c>
      <c r="G229" s="432">
        <v>0</v>
      </c>
      <c r="H229" s="316"/>
      <c r="I229" s="425">
        <f>ROUND((D229/E229*F229)*G229,2)</f>
        <v>0</v>
      </c>
      <c r="J229" s="316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4.25" customHeight="1" x14ac:dyDescent="0.2">
      <c r="A230" s="353" t="s">
        <v>484</v>
      </c>
      <c r="B230" s="318"/>
      <c r="C230" s="316"/>
      <c r="D230" s="199">
        <v>1</v>
      </c>
      <c r="E230" s="428">
        <f>'Qtd postos 20%'!C7</f>
        <v>0</v>
      </c>
      <c r="F230" s="316"/>
      <c r="G230" s="431" t="e">
        <f>J208</f>
        <v>#DIV/0!</v>
      </c>
      <c r="H230" s="316"/>
      <c r="I230" s="425">
        <v>0</v>
      </c>
      <c r="J230" s="316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4.25" customHeight="1" x14ac:dyDescent="0.2">
      <c r="A231" s="429" t="s">
        <v>476</v>
      </c>
      <c r="B231" s="318"/>
      <c r="C231" s="318"/>
      <c r="D231" s="318"/>
      <c r="E231" s="318"/>
      <c r="F231" s="318"/>
      <c r="G231" s="318"/>
      <c r="H231" s="316"/>
      <c r="I231" s="425">
        <f>SUM(I229+I230)</f>
        <v>0</v>
      </c>
      <c r="J231" s="316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4.25" customHeight="1" x14ac:dyDescent="0.2">
      <c r="A232" s="430"/>
      <c r="B232" s="318"/>
      <c r="C232" s="318"/>
      <c r="D232" s="318"/>
      <c r="E232" s="318"/>
      <c r="F232" s="318"/>
      <c r="G232" s="318"/>
      <c r="H232" s="318"/>
      <c r="I232" s="318"/>
      <c r="J232" s="316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27" customHeight="1" x14ac:dyDescent="0.2">
      <c r="A233" s="353" t="s">
        <v>485</v>
      </c>
      <c r="B233" s="318"/>
      <c r="C233" s="316"/>
      <c r="D233" s="183">
        <v>1</v>
      </c>
      <c r="E233" s="183">
        <v>30</v>
      </c>
      <c r="F233" s="200">
        <f>E234</f>
        <v>0</v>
      </c>
      <c r="G233" s="432">
        <v>0</v>
      </c>
      <c r="H233" s="316"/>
      <c r="I233" s="425">
        <f>ROUND((D233/E233*F233)*G233,2)</f>
        <v>0</v>
      </c>
      <c r="J233" s="316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27" customHeight="1" x14ac:dyDescent="0.2">
      <c r="A234" s="353" t="s">
        <v>486</v>
      </c>
      <c r="B234" s="318"/>
      <c r="C234" s="316"/>
      <c r="D234" s="183">
        <v>1</v>
      </c>
      <c r="E234" s="428">
        <f>'Qtd postos 20%'!C8</f>
        <v>0</v>
      </c>
      <c r="F234" s="316"/>
      <c r="G234" s="424" t="e">
        <f>J208</f>
        <v>#DIV/0!</v>
      </c>
      <c r="H234" s="316"/>
      <c r="I234" s="425" t="e">
        <f>ROUND((D234/E234)*G234,2)</f>
        <v>#DIV/0!</v>
      </c>
      <c r="J234" s="316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4.25" customHeight="1" x14ac:dyDescent="0.2">
      <c r="A235" s="374" t="s">
        <v>476</v>
      </c>
      <c r="B235" s="318"/>
      <c r="C235" s="318"/>
      <c r="D235" s="318"/>
      <c r="E235" s="318"/>
      <c r="F235" s="318"/>
      <c r="G235" s="318"/>
      <c r="H235" s="316"/>
      <c r="I235" s="433" t="e">
        <f>SUM(I233+I234)</f>
        <v>#DIV/0!</v>
      </c>
      <c r="J235" s="316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4.25" customHeight="1" x14ac:dyDescent="0.2">
      <c r="A236" s="430"/>
      <c r="B236" s="318"/>
      <c r="C236" s="318"/>
      <c r="D236" s="318"/>
      <c r="E236" s="318"/>
      <c r="F236" s="318"/>
      <c r="G236" s="318"/>
      <c r="H236" s="318"/>
      <c r="I236" s="318"/>
      <c r="J236" s="316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4.25" customHeight="1" x14ac:dyDescent="0.2">
      <c r="A237" s="358" t="s">
        <v>487</v>
      </c>
      <c r="B237" s="318"/>
      <c r="C237" s="316"/>
      <c r="D237" s="203">
        <v>1</v>
      </c>
      <c r="E237" s="203">
        <v>30</v>
      </c>
      <c r="F237" s="204">
        <f>E238</f>
        <v>0</v>
      </c>
      <c r="G237" s="424">
        <v>0</v>
      </c>
      <c r="H237" s="316"/>
      <c r="I237" s="425">
        <f>ROUND((D237/E237*F237)*G237,2)</f>
        <v>0</v>
      </c>
      <c r="J237" s="316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4.25" customHeight="1" x14ac:dyDescent="0.2">
      <c r="A238" s="358" t="s">
        <v>488</v>
      </c>
      <c r="B238" s="318"/>
      <c r="C238" s="316"/>
      <c r="D238" s="203">
        <v>1</v>
      </c>
      <c r="E238" s="434">
        <v>0</v>
      </c>
      <c r="F238" s="316"/>
      <c r="G238" s="424">
        <v>0</v>
      </c>
      <c r="H238" s="316"/>
      <c r="I238" s="425">
        <v>0</v>
      </c>
      <c r="J238" s="316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4.25" customHeight="1" x14ac:dyDescent="0.2">
      <c r="A239" s="384" t="s">
        <v>476</v>
      </c>
      <c r="B239" s="318"/>
      <c r="C239" s="318"/>
      <c r="D239" s="318"/>
      <c r="E239" s="318"/>
      <c r="F239" s="318"/>
      <c r="G239" s="318"/>
      <c r="H239" s="316"/>
      <c r="I239" s="425">
        <f>SUM(I237+I238)</f>
        <v>0</v>
      </c>
      <c r="J239" s="316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4.25" customHeight="1" x14ac:dyDescent="0.2">
      <c r="A240" s="430"/>
      <c r="B240" s="318"/>
      <c r="C240" s="318"/>
      <c r="D240" s="318"/>
      <c r="E240" s="318"/>
      <c r="F240" s="318"/>
      <c r="G240" s="318"/>
      <c r="H240" s="318"/>
      <c r="I240" s="318"/>
      <c r="J240" s="316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4.25" customHeight="1" x14ac:dyDescent="0.2">
      <c r="A241" s="385" t="s">
        <v>489</v>
      </c>
      <c r="B241" s="318"/>
      <c r="C241" s="318"/>
      <c r="D241" s="318"/>
      <c r="E241" s="318"/>
      <c r="F241" s="318"/>
      <c r="G241" s="318"/>
      <c r="H241" s="318"/>
      <c r="I241" s="318"/>
      <c r="J241" s="316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4.25" customHeight="1" x14ac:dyDescent="0.2">
      <c r="A242" s="435"/>
      <c r="B242" s="318"/>
      <c r="C242" s="318"/>
      <c r="D242" s="318"/>
      <c r="E242" s="318"/>
      <c r="F242" s="318"/>
      <c r="G242" s="318"/>
      <c r="H242" s="318"/>
      <c r="I242" s="318"/>
      <c r="J242" s="316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21" customHeight="1" x14ac:dyDescent="0.2">
      <c r="A243" s="358"/>
      <c r="B243" s="318"/>
      <c r="C243" s="318"/>
      <c r="D243" s="318"/>
      <c r="E243" s="318"/>
      <c r="F243" s="318"/>
      <c r="G243" s="318"/>
      <c r="H243" s="318"/>
      <c r="I243" s="318"/>
      <c r="J243" s="316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39" customHeight="1" x14ac:dyDescent="0.2">
      <c r="A244" s="427" t="s">
        <v>490</v>
      </c>
      <c r="B244" s="318"/>
      <c r="C244" s="316"/>
      <c r="D244" s="427" t="s">
        <v>491</v>
      </c>
      <c r="E244" s="318"/>
      <c r="F244" s="316"/>
      <c r="G244" s="365" t="s">
        <v>492</v>
      </c>
      <c r="H244" s="316"/>
      <c r="I244" s="365" t="s">
        <v>473</v>
      </c>
      <c r="J244" s="316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39" customHeight="1" x14ac:dyDescent="0.2">
      <c r="A245" s="353" t="s">
        <v>493</v>
      </c>
      <c r="B245" s="318"/>
      <c r="C245" s="316"/>
      <c r="D245" s="205">
        <v>1</v>
      </c>
      <c r="E245" s="183" t="s">
        <v>494</v>
      </c>
      <c r="F245" s="200">
        <f>E246</f>
        <v>0</v>
      </c>
      <c r="G245" s="423">
        <v>0</v>
      </c>
      <c r="H245" s="316"/>
      <c r="I245" s="436">
        <v>0</v>
      </c>
      <c r="J245" s="316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39" customHeight="1" x14ac:dyDescent="0.2">
      <c r="A246" s="353" t="s">
        <v>495</v>
      </c>
      <c r="B246" s="318"/>
      <c r="C246" s="316"/>
      <c r="D246" s="205">
        <v>1</v>
      </c>
      <c r="E246" s="428">
        <f>'Qtd postos 20%'!C9</f>
        <v>0</v>
      </c>
      <c r="F246" s="316"/>
      <c r="G246" s="423" t="e">
        <f>J208</f>
        <v>#DIV/0!</v>
      </c>
      <c r="H246" s="316"/>
      <c r="I246" s="436" t="e">
        <f>ROUND((D246/E246)*G246,2)</f>
        <v>#DIV/0!</v>
      </c>
      <c r="J246" s="316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4.25" customHeight="1" x14ac:dyDescent="0.2">
      <c r="A247" s="429" t="s">
        <v>476</v>
      </c>
      <c r="B247" s="318"/>
      <c r="C247" s="318"/>
      <c r="D247" s="318"/>
      <c r="E247" s="318"/>
      <c r="F247" s="318"/>
      <c r="G247" s="318"/>
      <c r="H247" s="316"/>
      <c r="I247" s="436" t="e">
        <f>SUM(I245+I246)</f>
        <v>#DIV/0!</v>
      </c>
      <c r="J247" s="316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4.25" customHeight="1" x14ac:dyDescent="0.2">
      <c r="A248" s="435"/>
      <c r="B248" s="318"/>
      <c r="C248" s="318"/>
      <c r="D248" s="318"/>
      <c r="E248" s="318"/>
      <c r="F248" s="318"/>
      <c r="G248" s="318"/>
      <c r="H248" s="318"/>
      <c r="I248" s="318"/>
      <c r="J248" s="316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27" customHeight="1" x14ac:dyDescent="0.2">
      <c r="A249" s="353" t="s">
        <v>496</v>
      </c>
      <c r="B249" s="318"/>
      <c r="C249" s="316"/>
      <c r="D249" s="205">
        <v>1</v>
      </c>
      <c r="E249" s="183" t="s">
        <v>494</v>
      </c>
      <c r="F249" s="200">
        <f>E250</f>
        <v>0</v>
      </c>
      <c r="G249" s="423">
        <v>0</v>
      </c>
      <c r="H249" s="316"/>
      <c r="I249" s="436">
        <v>0</v>
      </c>
      <c r="J249" s="316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27" customHeight="1" x14ac:dyDescent="0.2">
      <c r="A250" s="353" t="s">
        <v>497</v>
      </c>
      <c r="B250" s="318"/>
      <c r="C250" s="316"/>
      <c r="D250" s="205">
        <v>1</v>
      </c>
      <c r="E250" s="428">
        <f>'Qtd postos 20%'!C10</f>
        <v>0</v>
      </c>
      <c r="F250" s="316"/>
      <c r="G250" s="423" t="e">
        <f>J208</f>
        <v>#DIV/0!</v>
      </c>
      <c r="H250" s="316"/>
      <c r="I250" s="436" t="e">
        <f>ROUND((D250/E250)*G250,2)</f>
        <v>#DIV/0!</v>
      </c>
      <c r="J250" s="316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4.25" customHeight="1" x14ac:dyDescent="0.2">
      <c r="A251" s="429" t="s">
        <v>476</v>
      </c>
      <c r="B251" s="318"/>
      <c r="C251" s="318"/>
      <c r="D251" s="318"/>
      <c r="E251" s="318"/>
      <c r="F251" s="318"/>
      <c r="G251" s="318"/>
      <c r="H251" s="316"/>
      <c r="I251" s="436" t="e">
        <f>SUM(I249+I250)</f>
        <v>#DIV/0!</v>
      </c>
      <c r="J251" s="316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4.25" customHeight="1" x14ac:dyDescent="0.2">
      <c r="A252" s="435"/>
      <c r="B252" s="318"/>
      <c r="C252" s="318"/>
      <c r="D252" s="318"/>
      <c r="E252" s="318"/>
      <c r="F252" s="318"/>
      <c r="G252" s="318"/>
      <c r="H252" s="318"/>
      <c r="I252" s="318"/>
      <c r="J252" s="316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27" customHeight="1" x14ac:dyDescent="0.2">
      <c r="A253" s="353" t="s">
        <v>498</v>
      </c>
      <c r="B253" s="318"/>
      <c r="C253" s="316"/>
      <c r="D253" s="205">
        <v>1</v>
      </c>
      <c r="E253" s="183" t="s">
        <v>494</v>
      </c>
      <c r="F253" s="200">
        <f>E254</f>
        <v>0</v>
      </c>
      <c r="G253" s="423">
        <v>0</v>
      </c>
      <c r="H253" s="316"/>
      <c r="I253" s="436">
        <f>ROUND((D253/E253*F253)*G253,2)</f>
        <v>0</v>
      </c>
      <c r="J253" s="316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27" customHeight="1" x14ac:dyDescent="0.2">
      <c r="A254" s="353" t="s">
        <v>499</v>
      </c>
      <c r="B254" s="318"/>
      <c r="C254" s="316"/>
      <c r="D254" s="205">
        <v>1</v>
      </c>
      <c r="E254" s="428">
        <f>'Qtd postos 20%'!C11</f>
        <v>0</v>
      </c>
      <c r="F254" s="316"/>
      <c r="G254" s="423" t="e">
        <f>J208</f>
        <v>#DIV/0!</v>
      </c>
      <c r="H254" s="316"/>
      <c r="I254" s="436" t="e">
        <f>ROUND((D254/E254)*G254,2)</f>
        <v>#DIV/0!</v>
      </c>
      <c r="J254" s="316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4.25" customHeight="1" x14ac:dyDescent="0.2">
      <c r="A255" s="429" t="s">
        <v>476</v>
      </c>
      <c r="B255" s="318"/>
      <c r="C255" s="318"/>
      <c r="D255" s="318"/>
      <c r="E255" s="318"/>
      <c r="F255" s="318"/>
      <c r="G255" s="318"/>
      <c r="H255" s="316"/>
      <c r="I255" s="436" t="e">
        <f>SUM(I253+I254)</f>
        <v>#DIV/0!</v>
      </c>
      <c r="J255" s="316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4.25" customHeight="1" x14ac:dyDescent="0.2">
      <c r="A256" s="435"/>
      <c r="B256" s="318"/>
      <c r="C256" s="318"/>
      <c r="D256" s="318"/>
      <c r="E256" s="318"/>
      <c r="F256" s="318"/>
      <c r="G256" s="318"/>
      <c r="H256" s="318"/>
      <c r="I256" s="318"/>
      <c r="J256" s="316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27" customHeight="1" x14ac:dyDescent="0.2">
      <c r="A257" s="353" t="s">
        <v>500</v>
      </c>
      <c r="B257" s="318"/>
      <c r="C257" s="316"/>
      <c r="D257" s="205">
        <v>1</v>
      </c>
      <c r="E257" s="183" t="s">
        <v>494</v>
      </c>
      <c r="F257" s="200">
        <f>E258</f>
        <v>0</v>
      </c>
      <c r="G257" s="423">
        <v>0</v>
      </c>
      <c r="H257" s="316"/>
      <c r="I257" s="401">
        <f>ROUND((D257/E257*F257)*G257,2)</f>
        <v>0</v>
      </c>
      <c r="J257" s="316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27" customHeight="1" x14ac:dyDescent="0.2">
      <c r="A258" s="353" t="s">
        <v>501</v>
      </c>
      <c r="B258" s="318"/>
      <c r="C258" s="316"/>
      <c r="D258" s="205">
        <v>1</v>
      </c>
      <c r="E258" s="428">
        <f>'Qtd postos 20%'!C12</f>
        <v>0</v>
      </c>
      <c r="F258" s="316"/>
      <c r="G258" s="423" t="e">
        <f>J208</f>
        <v>#DIV/0!</v>
      </c>
      <c r="H258" s="316"/>
      <c r="I258" s="401" t="e">
        <f>ROUND((D258/E258)*G258,2)</f>
        <v>#DIV/0!</v>
      </c>
      <c r="J258" s="316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4.25" customHeight="1" x14ac:dyDescent="0.2">
      <c r="A259" s="429" t="s">
        <v>476</v>
      </c>
      <c r="B259" s="318"/>
      <c r="C259" s="318"/>
      <c r="D259" s="318"/>
      <c r="E259" s="318"/>
      <c r="F259" s="318"/>
      <c r="G259" s="318"/>
      <c r="H259" s="316"/>
      <c r="I259" s="401" t="e">
        <f>SUM(I257+I258)</f>
        <v>#DIV/0!</v>
      </c>
      <c r="J259" s="316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4.25" customHeight="1" x14ac:dyDescent="0.2">
      <c r="A260" s="435"/>
      <c r="B260" s="318"/>
      <c r="C260" s="318"/>
      <c r="D260" s="318"/>
      <c r="E260" s="318"/>
      <c r="F260" s="318"/>
      <c r="G260" s="318"/>
      <c r="H260" s="318"/>
      <c r="I260" s="318"/>
      <c r="J260" s="316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27" customHeight="1" x14ac:dyDescent="0.2">
      <c r="A261" s="353" t="s">
        <v>502</v>
      </c>
      <c r="B261" s="318"/>
      <c r="C261" s="316"/>
      <c r="D261" s="205" t="s">
        <v>503</v>
      </c>
      <c r="E261" s="183" t="s">
        <v>494</v>
      </c>
      <c r="F261" s="200">
        <f>E262</f>
        <v>0</v>
      </c>
      <c r="G261" s="423">
        <v>0</v>
      </c>
      <c r="H261" s="316"/>
      <c r="I261" s="436">
        <f>ROUND((D261/E261*F261)*G261,2)</f>
        <v>0</v>
      </c>
      <c r="J261" s="316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27" customHeight="1" x14ac:dyDescent="0.2">
      <c r="A262" s="353" t="s">
        <v>504</v>
      </c>
      <c r="B262" s="318"/>
      <c r="C262" s="316"/>
      <c r="D262" s="205">
        <v>1</v>
      </c>
      <c r="E262" s="428">
        <f>'Qtd postos 20%'!C13</f>
        <v>0</v>
      </c>
      <c r="F262" s="316"/>
      <c r="G262" s="423" t="e">
        <f>J208</f>
        <v>#DIV/0!</v>
      </c>
      <c r="H262" s="316"/>
      <c r="I262" s="436">
        <v>1.77</v>
      </c>
      <c r="J262" s="316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4.25" customHeight="1" x14ac:dyDescent="0.2">
      <c r="A263" s="374" t="s">
        <v>476</v>
      </c>
      <c r="B263" s="318"/>
      <c r="C263" s="318"/>
      <c r="D263" s="318"/>
      <c r="E263" s="318"/>
      <c r="F263" s="318"/>
      <c r="G263" s="318"/>
      <c r="H263" s="316"/>
      <c r="I263" s="433">
        <f>SUM(I261+I262)</f>
        <v>1.77</v>
      </c>
      <c r="J263" s="316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4.25" customHeight="1" x14ac:dyDescent="0.2">
      <c r="A264" s="435"/>
      <c r="B264" s="318"/>
      <c r="C264" s="318"/>
      <c r="D264" s="318"/>
      <c r="E264" s="318"/>
      <c r="F264" s="318"/>
      <c r="G264" s="318"/>
      <c r="H264" s="318"/>
      <c r="I264" s="318"/>
      <c r="J264" s="316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39" customHeight="1" x14ac:dyDescent="0.2">
      <c r="A265" s="353" t="s">
        <v>505</v>
      </c>
      <c r="B265" s="318"/>
      <c r="C265" s="316"/>
      <c r="D265" s="205" t="s">
        <v>503</v>
      </c>
      <c r="E265" s="183" t="s">
        <v>494</v>
      </c>
      <c r="F265" s="200">
        <f>E266</f>
        <v>0</v>
      </c>
      <c r="G265" s="423">
        <v>0</v>
      </c>
      <c r="H265" s="316"/>
      <c r="I265" s="436">
        <f>ROUND((D265/E265*F265)*G265,2)</f>
        <v>0</v>
      </c>
      <c r="J265" s="316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27" customHeight="1" x14ac:dyDescent="0.2">
      <c r="A266" s="353" t="s">
        <v>506</v>
      </c>
      <c r="B266" s="318"/>
      <c r="C266" s="316"/>
      <c r="D266" s="205" t="s">
        <v>503</v>
      </c>
      <c r="E266" s="428">
        <f>'Qtd postos 20%'!C14</f>
        <v>0</v>
      </c>
      <c r="F266" s="316"/>
      <c r="G266" s="423" t="e">
        <f>J208</f>
        <v>#DIV/0!</v>
      </c>
      <c r="H266" s="316"/>
      <c r="I266" s="436" t="e">
        <f>ROUND((D266/E266)*G266,2)</f>
        <v>#DIV/0!</v>
      </c>
      <c r="J266" s="316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4.25" customHeight="1" x14ac:dyDescent="0.2">
      <c r="A267" s="429" t="s">
        <v>476</v>
      </c>
      <c r="B267" s="318"/>
      <c r="C267" s="318"/>
      <c r="D267" s="318"/>
      <c r="E267" s="318"/>
      <c r="F267" s="318"/>
      <c r="G267" s="318"/>
      <c r="H267" s="316"/>
      <c r="I267" s="436" t="e">
        <f>SUM(I265+I266)</f>
        <v>#DIV/0!</v>
      </c>
      <c r="J267" s="316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4.25" customHeight="1" x14ac:dyDescent="0.2">
      <c r="A268" s="435"/>
      <c r="B268" s="318"/>
      <c r="C268" s="318"/>
      <c r="D268" s="318"/>
      <c r="E268" s="318"/>
      <c r="F268" s="318"/>
      <c r="G268" s="318"/>
      <c r="H268" s="318"/>
      <c r="I268" s="318"/>
      <c r="J268" s="316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4.25" customHeight="1" x14ac:dyDescent="0.2">
      <c r="A269" s="385" t="s">
        <v>507</v>
      </c>
      <c r="B269" s="318"/>
      <c r="C269" s="318"/>
      <c r="D269" s="318"/>
      <c r="E269" s="318"/>
      <c r="F269" s="318"/>
      <c r="G269" s="318"/>
      <c r="H269" s="318"/>
      <c r="I269" s="318"/>
      <c r="J269" s="316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4.25" customHeight="1" x14ac:dyDescent="0.2">
      <c r="A270" s="435"/>
      <c r="B270" s="318"/>
      <c r="C270" s="318"/>
      <c r="D270" s="318"/>
      <c r="E270" s="318"/>
      <c r="F270" s="318"/>
      <c r="G270" s="318"/>
      <c r="H270" s="318"/>
      <c r="I270" s="318"/>
      <c r="J270" s="316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22.5" customHeight="1" x14ac:dyDescent="0.2">
      <c r="A271" s="358"/>
      <c r="B271" s="318"/>
      <c r="C271" s="318"/>
      <c r="D271" s="318"/>
      <c r="E271" s="318"/>
      <c r="F271" s="318"/>
      <c r="G271" s="318"/>
      <c r="H271" s="318"/>
      <c r="I271" s="318"/>
      <c r="J271" s="316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75" customHeight="1" x14ac:dyDescent="0.2">
      <c r="A272" s="206" t="s">
        <v>508</v>
      </c>
      <c r="B272" s="427" t="s">
        <v>509</v>
      </c>
      <c r="C272" s="318"/>
      <c r="D272" s="316"/>
      <c r="E272" s="207" t="s">
        <v>510</v>
      </c>
      <c r="F272" s="438" t="s">
        <v>511</v>
      </c>
      <c r="G272" s="316"/>
      <c r="H272" s="207" t="s">
        <v>512</v>
      </c>
      <c r="I272" s="207" t="s">
        <v>513</v>
      </c>
      <c r="J272" s="207" t="s">
        <v>514</v>
      </c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75" customHeight="1" x14ac:dyDescent="0.2">
      <c r="A273" s="208" t="s">
        <v>515</v>
      </c>
      <c r="B273" s="209">
        <v>1</v>
      </c>
      <c r="C273" s="210">
        <v>30</v>
      </c>
      <c r="D273" s="211">
        <f>C274</f>
        <v>0</v>
      </c>
      <c r="E273" s="183">
        <v>16</v>
      </c>
      <c r="F273" s="212" t="s">
        <v>503</v>
      </c>
      <c r="G273" s="212" t="s">
        <v>516</v>
      </c>
      <c r="H273" s="213" t="e">
        <f>ROUND((B273/(C273*D273))*E273*(F273/G273),7)</f>
        <v>#DIV/0!</v>
      </c>
      <c r="I273" s="141">
        <v>0</v>
      </c>
      <c r="J273" s="141" t="e">
        <f t="shared" ref="J273:J274" si="5">ROUND(H273*I273,2)</f>
        <v>#DIV/0!</v>
      </c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75" customHeight="1" x14ac:dyDescent="0.2">
      <c r="A274" s="208" t="s">
        <v>517</v>
      </c>
      <c r="B274" s="209">
        <v>1</v>
      </c>
      <c r="C274" s="437">
        <f>'Qtd postos 20%'!C15</f>
        <v>0</v>
      </c>
      <c r="D274" s="316"/>
      <c r="E274" s="183">
        <v>16</v>
      </c>
      <c r="F274" s="212" t="s">
        <v>503</v>
      </c>
      <c r="G274" s="212" t="s">
        <v>516</v>
      </c>
      <c r="H274" s="213" t="e">
        <f>ROUND((B274/C274)*E274*(F274/G274),7)</f>
        <v>#DIV/0!</v>
      </c>
      <c r="I274" s="141" t="e">
        <f>J208</f>
        <v>#DIV/0!</v>
      </c>
      <c r="J274" s="141" t="e">
        <f t="shared" si="5"/>
        <v>#DIV/0!</v>
      </c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4.25" customHeight="1" x14ac:dyDescent="0.2">
      <c r="A275" s="384" t="s">
        <v>476</v>
      </c>
      <c r="B275" s="318"/>
      <c r="C275" s="318"/>
      <c r="D275" s="318"/>
      <c r="E275" s="318"/>
      <c r="F275" s="318"/>
      <c r="G275" s="318"/>
      <c r="H275" s="318"/>
      <c r="I275" s="316"/>
      <c r="J275" s="141" t="e">
        <f>SUM(J273+J274)</f>
        <v>#DIV/0!</v>
      </c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4.25" customHeight="1" x14ac:dyDescent="0.2">
      <c r="A276" s="398"/>
      <c r="B276" s="318"/>
      <c r="C276" s="318"/>
      <c r="D276" s="318"/>
      <c r="E276" s="318"/>
      <c r="F276" s="318"/>
      <c r="G276" s="318"/>
      <c r="H276" s="318"/>
      <c r="I276" s="318"/>
      <c r="J276" s="316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75" customHeight="1" x14ac:dyDescent="0.2">
      <c r="A277" s="208" t="s">
        <v>518</v>
      </c>
      <c r="B277" s="209">
        <v>1</v>
      </c>
      <c r="C277" s="210">
        <v>30</v>
      </c>
      <c r="D277" s="211">
        <f>C278</f>
        <v>0</v>
      </c>
      <c r="E277" s="183">
        <v>16</v>
      </c>
      <c r="F277" s="212" t="s">
        <v>503</v>
      </c>
      <c r="G277" s="212" t="s">
        <v>516</v>
      </c>
      <c r="H277" s="213" t="e">
        <f>ROUND((B277/(C277*D277))*E277*(F277/G277),7)</f>
        <v>#DIV/0!</v>
      </c>
      <c r="I277" s="141">
        <v>0</v>
      </c>
      <c r="J277" s="141" t="e">
        <f t="shared" ref="J277:J278" si="6">ROUND(H277*I277,2)</f>
        <v>#DIV/0!</v>
      </c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63" customHeight="1" x14ac:dyDescent="0.2">
      <c r="A278" s="208" t="s">
        <v>519</v>
      </c>
      <c r="B278" s="209">
        <v>1</v>
      </c>
      <c r="C278" s="437">
        <f>'Qtd postos 20%'!C16</f>
        <v>0</v>
      </c>
      <c r="D278" s="316"/>
      <c r="E278" s="183">
        <v>16</v>
      </c>
      <c r="F278" s="212" t="s">
        <v>503</v>
      </c>
      <c r="G278" s="212" t="s">
        <v>516</v>
      </c>
      <c r="H278" s="213" t="e">
        <f>ROUND((B278/C278)*E278*(F278/G278),7)</f>
        <v>#DIV/0!</v>
      </c>
      <c r="I278" s="141" t="e">
        <f>J208</f>
        <v>#DIV/0!</v>
      </c>
      <c r="J278" s="141" t="e">
        <f t="shared" si="6"/>
        <v>#DIV/0!</v>
      </c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4.25" customHeight="1" x14ac:dyDescent="0.2">
      <c r="A279" s="429" t="s">
        <v>476</v>
      </c>
      <c r="B279" s="318"/>
      <c r="C279" s="318"/>
      <c r="D279" s="318"/>
      <c r="E279" s="318"/>
      <c r="F279" s="318"/>
      <c r="G279" s="318"/>
      <c r="H279" s="318"/>
      <c r="I279" s="316"/>
      <c r="J279" s="141" t="e">
        <f>SUM(J277+J278)</f>
        <v>#DIV/0!</v>
      </c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75" customHeight="1" x14ac:dyDescent="0.2">
      <c r="A280" s="398"/>
      <c r="B280" s="318"/>
      <c r="C280" s="318"/>
      <c r="D280" s="318"/>
      <c r="E280" s="318"/>
      <c r="F280" s="318"/>
      <c r="G280" s="318"/>
      <c r="H280" s="318"/>
      <c r="I280" s="318"/>
      <c r="J280" s="316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75" customHeight="1" x14ac:dyDescent="0.2">
      <c r="A281" s="214" t="s">
        <v>520</v>
      </c>
      <c r="B281" s="209">
        <v>1</v>
      </c>
      <c r="C281" s="210">
        <v>30</v>
      </c>
      <c r="D281" s="211">
        <f>C282</f>
        <v>0</v>
      </c>
      <c r="E281" s="183">
        <v>16</v>
      </c>
      <c r="F281" s="212" t="s">
        <v>503</v>
      </c>
      <c r="G281" s="212" t="s">
        <v>516</v>
      </c>
      <c r="H281" s="213" t="e">
        <f>ROUND((B281/(C281*D281))*E281*(F281/G281),7)</f>
        <v>#DIV/0!</v>
      </c>
      <c r="I281" s="141">
        <v>0</v>
      </c>
      <c r="J281" s="141" t="e">
        <f t="shared" ref="J281:J282" si="7">ROUND(H281*I281,2)</f>
        <v>#DIV/0!</v>
      </c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27" customHeight="1" x14ac:dyDescent="0.2">
      <c r="A282" s="214" t="s">
        <v>521</v>
      </c>
      <c r="B282" s="209">
        <v>1</v>
      </c>
      <c r="C282" s="437">
        <f>'Qtd postos 20%'!C17</f>
        <v>0</v>
      </c>
      <c r="D282" s="316"/>
      <c r="E282" s="215">
        <v>16</v>
      </c>
      <c r="F282" s="212" t="s">
        <v>503</v>
      </c>
      <c r="G282" s="212" t="s">
        <v>516</v>
      </c>
      <c r="H282" s="213" t="e">
        <f>ROUND((B282/C282)*E282*(F282/G282),7)</f>
        <v>#DIV/0!</v>
      </c>
      <c r="I282" s="141" t="e">
        <f>J208</f>
        <v>#DIV/0!</v>
      </c>
      <c r="J282" s="141" t="e">
        <f t="shared" si="7"/>
        <v>#DIV/0!</v>
      </c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4.25" customHeight="1" x14ac:dyDescent="0.2">
      <c r="A283" s="374" t="s">
        <v>476</v>
      </c>
      <c r="B283" s="318"/>
      <c r="C283" s="318"/>
      <c r="D283" s="318"/>
      <c r="E283" s="318"/>
      <c r="F283" s="318"/>
      <c r="G283" s="318"/>
      <c r="H283" s="318"/>
      <c r="I283" s="316"/>
      <c r="J283" s="216" t="e">
        <f>SUM(J281+J282)</f>
        <v>#DIV/0!</v>
      </c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75" customHeight="1" x14ac:dyDescent="0.2">
      <c r="A284" s="398"/>
      <c r="B284" s="318"/>
      <c r="C284" s="318"/>
      <c r="D284" s="318"/>
      <c r="E284" s="318"/>
      <c r="F284" s="318"/>
      <c r="G284" s="318"/>
      <c r="H284" s="318"/>
      <c r="I284" s="318"/>
      <c r="J284" s="316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4.25" customHeight="1" x14ac:dyDescent="0.2">
      <c r="A285" s="385" t="s">
        <v>522</v>
      </c>
      <c r="B285" s="318"/>
      <c r="C285" s="318"/>
      <c r="D285" s="318"/>
      <c r="E285" s="318"/>
      <c r="F285" s="318"/>
      <c r="G285" s="318"/>
      <c r="H285" s="318"/>
      <c r="I285" s="318"/>
      <c r="J285" s="316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4.25" customHeight="1" x14ac:dyDescent="0.2">
      <c r="A286" s="398"/>
      <c r="B286" s="318"/>
      <c r="C286" s="318"/>
      <c r="D286" s="318"/>
      <c r="E286" s="318"/>
      <c r="F286" s="318"/>
      <c r="G286" s="318"/>
      <c r="H286" s="318"/>
      <c r="I286" s="318"/>
      <c r="J286" s="316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4.25" customHeight="1" x14ac:dyDescent="0.2">
      <c r="A287" s="439" t="s">
        <v>523</v>
      </c>
      <c r="B287" s="318"/>
      <c r="C287" s="318"/>
      <c r="D287" s="318"/>
      <c r="E287" s="318"/>
      <c r="F287" s="318"/>
      <c r="G287" s="318"/>
      <c r="H287" s="318"/>
      <c r="I287" s="318"/>
      <c r="J287" s="316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75" customHeight="1" x14ac:dyDescent="0.2">
      <c r="A288" s="206" t="s">
        <v>524</v>
      </c>
      <c r="B288" s="440" t="s">
        <v>525</v>
      </c>
      <c r="C288" s="318"/>
      <c r="D288" s="316"/>
      <c r="E288" s="217" t="s">
        <v>526</v>
      </c>
      <c r="F288" s="441" t="s">
        <v>527</v>
      </c>
      <c r="G288" s="316"/>
      <c r="H288" s="217" t="s">
        <v>528</v>
      </c>
      <c r="I288" s="217" t="s">
        <v>529</v>
      </c>
      <c r="J288" s="217" t="s">
        <v>530</v>
      </c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75" customHeight="1" x14ac:dyDescent="0.2">
      <c r="A289" s="218" t="s">
        <v>531</v>
      </c>
      <c r="B289" s="209">
        <v>1</v>
      </c>
      <c r="C289" s="210">
        <v>4</v>
      </c>
      <c r="D289" s="211">
        <f>C290</f>
        <v>0</v>
      </c>
      <c r="E289" s="209">
        <v>8</v>
      </c>
      <c r="F289" s="183">
        <v>1</v>
      </c>
      <c r="G289" s="219">
        <v>1132.5999999999999</v>
      </c>
      <c r="H289" s="220" t="e">
        <f>ROUND((B289/(C289*D289))*E289*(F289/G289),7)</f>
        <v>#DIV/0!</v>
      </c>
      <c r="I289" s="221">
        <v>0</v>
      </c>
      <c r="J289" s="141" t="e">
        <f t="shared" ref="J289:J290" si="8">ROUND(H289*I289,2)</f>
        <v>#DIV/0!</v>
      </c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75" customHeight="1" x14ac:dyDescent="0.2">
      <c r="A290" s="222" t="s">
        <v>532</v>
      </c>
      <c r="B290" s="209">
        <v>1</v>
      </c>
      <c r="C290" s="437">
        <f>'Qtd postos 20%'!C18</f>
        <v>0</v>
      </c>
      <c r="D290" s="316"/>
      <c r="E290" s="209">
        <v>8</v>
      </c>
      <c r="F290" s="223">
        <v>1</v>
      </c>
      <c r="G290" s="224">
        <v>1132.5999999999999</v>
      </c>
      <c r="H290" s="225" t="e">
        <f>ROUND((B290/C290)*E290*(F290/G290),7)</f>
        <v>#DIV/0!</v>
      </c>
      <c r="I290" s="226" t="e">
        <f>J208</f>
        <v>#DIV/0!</v>
      </c>
      <c r="J290" s="227" t="e">
        <f t="shared" si="8"/>
        <v>#DIV/0!</v>
      </c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4.25" customHeight="1" x14ac:dyDescent="0.2">
      <c r="A291" s="374" t="s">
        <v>476</v>
      </c>
      <c r="B291" s="318"/>
      <c r="C291" s="318"/>
      <c r="D291" s="318"/>
      <c r="E291" s="318"/>
      <c r="F291" s="318"/>
      <c r="G291" s="318"/>
      <c r="H291" s="318"/>
      <c r="I291" s="316"/>
      <c r="J291" s="216" t="e">
        <f>SUM(J289+J290)</f>
        <v>#DIV/0!</v>
      </c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75" customHeight="1" x14ac:dyDescent="0.2">
      <c r="A292" s="398"/>
      <c r="B292" s="318"/>
      <c r="C292" s="318"/>
      <c r="D292" s="318"/>
      <c r="E292" s="318"/>
      <c r="F292" s="318"/>
      <c r="G292" s="318"/>
      <c r="H292" s="318"/>
      <c r="I292" s="318"/>
      <c r="J292" s="316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4.25" customHeight="1" x14ac:dyDescent="0.2">
      <c r="A293" s="385" t="s">
        <v>533</v>
      </c>
      <c r="B293" s="318"/>
      <c r="C293" s="318"/>
      <c r="D293" s="318"/>
      <c r="E293" s="318"/>
      <c r="F293" s="318"/>
      <c r="G293" s="318"/>
      <c r="H293" s="318"/>
      <c r="I293" s="318"/>
      <c r="J293" s="316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75" customHeight="1" x14ac:dyDescent="0.2">
      <c r="A294" s="398"/>
      <c r="B294" s="318"/>
      <c r="C294" s="318"/>
      <c r="D294" s="318"/>
      <c r="E294" s="318"/>
      <c r="F294" s="318"/>
      <c r="G294" s="318"/>
      <c r="H294" s="318"/>
      <c r="I294" s="318"/>
      <c r="J294" s="316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75" customHeight="1" x14ac:dyDescent="0.2">
      <c r="A295" s="442" t="s">
        <v>534</v>
      </c>
      <c r="B295" s="409"/>
      <c r="C295" s="409"/>
      <c r="D295" s="409"/>
      <c r="E295" s="409"/>
      <c r="F295" s="409"/>
      <c r="G295" s="409"/>
      <c r="H295" s="409"/>
      <c r="I295" s="409"/>
      <c r="J295" s="410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75" customHeight="1" x14ac:dyDescent="0.2">
      <c r="A296" s="413"/>
      <c r="B296" s="414"/>
      <c r="C296" s="414"/>
      <c r="D296" s="414"/>
      <c r="E296" s="414"/>
      <c r="F296" s="414"/>
      <c r="G296" s="414"/>
      <c r="H296" s="414"/>
      <c r="I296" s="414"/>
      <c r="J296" s="415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39" customHeight="1" x14ac:dyDescent="0.2">
      <c r="A297" s="365" t="s">
        <v>535</v>
      </c>
      <c r="B297" s="318"/>
      <c r="C297" s="316"/>
      <c r="D297" s="365" t="s">
        <v>471</v>
      </c>
      <c r="E297" s="318"/>
      <c r="F297" s="316"/>
      <c r="G297" s="365" t="s">
        <v>536</v>
      </c>
      <c r="H297" s="316"/>
      <c r="I297" s="365" t="s">
        <v>473</v>
      </c>
      <c r="J297" s="316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4.25" customHeight="1" x14ac:dyDescent="0.2">
      <c r="A298" s="382" t="s">
        <v>537</v>
      </c>
      <c r="B298" s="318"/>
      <c r="C298" s="316"/>
      <c r="D298" s="199">
        <v>1</v>
      </c>
      <c r="E298" s="199">
        <v>30</v>
      </c>
      <c r="F298" s="228">
        <f>E299</f>
        <v>0</v>
      </c>
      <c r="G298" s="443">
        <v>0</v>
      </c>
      <c r="H298" s="316"/>
      <c r="I298" s="436">
        <v>0</v>
      </c>
      <c r="J298" s="316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4.25" customHeight="1" x14ac:dyDescent="0.2">
      <c r="A299" s="382" t="s">
        <v>538</v>
      </c>
      <c r="B299" s="318"/>
      <c r="C299" s="316"/>
      <c r="D299" s="199">
        <v>1</v>
      </c>
      <c r="E299" s="444">
        <f>'Qtd postos 20%'!C19</f>
        <v>0</v>
      </c>
      <c r="F299" s="316"/>
      <c r="G299" s="443">
        <v>0</v>
      </c>
      <c r="H299" s="316"/>
      <c r="I299" s="436">
        <v>0</v>
      </c>
      <c r="J299" s="316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4.25" customHeight="1" x14ac:dyDescent="0.2">
      <c r="A300" s="374" t="s">
        <v>476</v>
      </c>
      <c r="B300" s="318"/>
      <c r="C300" s="318"/>
      <c r="D300" s="318"/>
      <c r="E300" s="318"/>
      <c r="F300" s="318"/>
      <c r="G300" s="318"/>
      <c r="H300" s="316"/>
      <c r="I300" s="367">
        <f>SUM(I298+I299)</f>
        <v>0</v>
      </c>
      <c r="J300" s="316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4.25" customHeight="1" x14ac:dyDescent="0.2">
      <c r="A301" s="398"/>
      <c r="B301" s="318"/>
      <c r="C301" s="318"/>
      <c r="D301" s="318"/>
      <c r="E301" s="318"/>
      <c r="F301" s="318"/>
      <c r="G301" s="318"/>
      <c r="H301" s="318"/>
      <c r="I301" s="318"/>
      <c r="J301" s="316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4.25" customHeight="1" x14ac:dyDescent="0.2">
      <c r="A302" s="385" t="s">
        <v>539</v>
      </c>
      <c r="B302" s="318"/>
      <c r="C302" s="318"/>
      <c r="D302" s="318"/>
      <c r="E302" s="318"/>
      <c r="F302" s="318"/>
      <c r="G302" s="318"/>
      <c r="H302" s="318"/>
      <c r="I302" s="318"/>
      <c r="J302" s="316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4.25" customHeight="1" x14ac:dyDescent="0.2">
      <c r="A303" s="398"/>
      <c r="B303" s="318"/>
      <c r="C303" s="318"/>
      <c r="D303" s="318"/>
      <c r="E303" s="318"/>
      <c r="F303" s="318"/>
      <c r="G303" s="318"/>
      <c r="H303" s="318"/>
      <c r="I303" s="318"/>
      <c r="J303" s="316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22.5" customHeight="1" x14ac:dyDescent="0.2">
      <c r="A304" s="385"/>
      <c r="B304" s="318"/>
      <c r="C304" s="318"/>
      <c r="D304" s="318"/>
      <c r="E304" s="318"/>
      <c r="F304" s="318"/>
      <c r="G304" s="318"/>
      <c r="H304" s="318"/>
      <c r="I304" s="318"/>
      <c r="J304" s="316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6.5" customHeight="1" x14ac:dyDescent="0.2">
      <c r="A305" s="407" t="s">
        <v>540</v>
      </c>
      <c r="B305" s="318"/>
      <c r="C305" s="318"/>
      <c r="D305" s="318"/>
      <c r="E305" s="318"/>
      <c r="F305" s="318"/>
      <c r="G305" s="318"/>
      <c r="H305" s="318"/>
      <c r="I305" s="318"/>
      <c r="J305" s="316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27" customHeight="1" x14ac:dyDescent="0.2">
      <c r="A306" s="383" t="s">
        <v>21</v>
      </c>
      <c r="B306" s="318"/>
      <c r="C306" s="318"/>
      <c r="D306" s="318"/>
      <c r="E306" s="316"/>
      <c r="F306" s="365" t="s">
        <v>541</v>
      </c>
      <c r="G306" s="316"/>
      <c r="H306" s="197" t="s">
        <v>542</v>
      </c>
      <c r="I306" s="365" t="s">
        <v>543</v>
      </c>
      <c r="J306" s="316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4.25" customHeight="1" x14ac:dyDescent="0.2">
      <c r="A307" s="402" t="s">
        <v>290</v>
      </c>
      <c r="B307" s="318"/>
      <c r="C307" s="318"/>
      <c r="D307" s="318"/>
      <c r="E307" s="316"/>
      <c r="F307" s="400" t="e">
        <f>I215</f>
        <v>#DIV/0!</v>
      </c>
      <c r="G307" s="316"/>
      <c r="H307" s="229">
        <f t="shared" ref="H307:H314" si="9">I13</f>
        <v>1033.8399999999999</v>
      </c>
      <c r="I307" s="395" t="e">
        <f t="shared" ref="I307:I313" si="10">ROUND(F307*H307,2)</f>
        <v>#DIV/0!</v>
      </c>
      <c r="J307" s="316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4.25" customHeight="1" x14ac:dyDescent="0.2">
      <c r="A308" s="402" t="s">
        <v>292</v>
      </c>
      <c r="B308" s="318"/>
      <c r="C308" s="318"/>
      <c r="D308" s="318"/>
      <c r="E308" s="316"/>
      <c r="F308" s="400" t="e">
        <f>I219</f>
        <v>#DIV/0!</v>
      </c>
      <c r="G308" s="316"/>
      <c r="H308" s="229">
        <f t="shared" si="9"/>
        <v>9507.89</v>
      </c>
      <c r="I308" s="395" t="e">
        <f t="shared" si="10"/>
        <v>#DIV/0!</v>
      </c>
      <c r="J308" s="316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4.25" customHeight="1" x14ac:dyDescent="0.2">
      <c r="A309" s="402" t="s">
        <v>293</v>
      </c>
      <c r="B309" s="318"/>
      <c r="C309" s="318"/>
      <c r="D309" s="318"/>
      <c r="E309" s="316"/>
      <c r="F309" s="400" t="e">
        <f>I223</f>
        <v>#DIV/0!</v>
      </c>
      <c r="G309" s="316"/>
      <c r="H309" s="229">
        <f t="shared" si="9"/>
        <v>2609.1799999999998</v>
      </c>
      <c r="I309" s="395" t="e">
        <f t="shared" si="10"/>
        <v>#DIV/0!</v>
      </c>
      <c r="J309" s="316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4.25" customHeight="1" x14ac:dyDescent="0.2">
      <c r="A310" s="402" t="s">
        <v>294</v>
      </c>
      <c r="B310" s="318"/>
      <c r="C310" s="318"/>
      <c r="D310" s="318"/>
      <c r="E310" s="316"/>
      <c r="F310" s="400" t="e">
        <f>I227</f>
        <v>#DIV/0!</v>
      </c>
      <c r="G310" s="316"/>
      <c r="H310" s="229">
        <f t="shared" si="9"/>
        <v>4812.8</v>
      </c>
      <c r="I310" s="395" t="e">
        <f t="shared" si="10"/>
        <v>#DIV/0!</v>
      </c>
      <c r="J310" s="316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4.25" customHeight="1" x14ac:dyDescent="0.2">
      <c r="A311" s="402" t="s">
        <v>544</v>
      </c>
      <c r="B311" s="318"/>
      <c r="C311" s="318"/>
      <c r="D311" s="318"/>
      <c r="E311" s="316"/>
      <c r="F311" s="400">
        <f>I231</f>
        <v>0</v>
      </c>
      <c r="G311" s="316"/>
      <c r="H311" s="229">
        <f t="shared" si="9"/>
        <v>0</v>
      </c>
      <c r="I311" s="395">
        <f t="shared" si="10"/>
        <v>0</v>
      </c>
      <c r="J311" s="316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4.25" customHeight="1" x14ac:dyDescent="0.2">
      <c r="A312" s="394" t="s">
        <v>296</v>
      </c>
      <c r="B312" s="318"/>
      <c r="C312" s="318"/>
      <c r="D312" s="318"/>
      <c r="E312" s="316"/>
      <c r="F312" s="400" t="e">
        <f>I235</f>
        <v>#DIV/0!</v>
      </c>
      <c r="G312" s="316"/>
      <c r="H312" s="229">
        <f t="shared" si="9"/>
        <v>909.25</v>
      </c>
      <c r="I312" s="395" t="e">
        <f t="shared" si="10"/>
        <v>#DIV/0!</v>
      </c>
      <c r="J312" s="316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4.25" customHeight="1" x14ac:dyDescent="0.2">
      <c r="A313" s="358" t="s">
        <v>545</v>
      </c>
      <c r="B313" s="318"/>
      <c r="C313" s="318"/>
      <c r="D313" s="318"/>
      <c r="E313" s="316"/>
      <c r="F313" s="321">
        <f>I239</f>
        <v>0</v>
      </c>
      <c r="G313" s="316"/>
      <c r="H313" s="230">
        <f t="shared" si="9"/>
        <v>0</v>
      </c>
      <c r="I313" s="395">
        <f t="shared" si="10"/>
        <v>0</v>
      </c>
      <c r="J313" s="316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4.25" customHeight="1" x14ac:dyDescent="0.2">
      <c r="A314" s="397" t="s">
        <v>298</v>
      </c>
      <c r="B314" s="318"/>
      <c r="C314" s="318"/>
      <c r="D314" s="318"/>
      <c r="E314" s="318"/>
      <c r="F314" s="318"/>
      <c r="G314" s="316"/>
      <c r="H314" s="231">
        <f t="shared" si="9"/>
        <v>18872.96</v>
      </c>
      <c r="I314" s="367" t="e">
        <f>ROUND(SUM(I307:I313),2)</f>
        <v>#DIV/0!</v>
      </c>
      <c r="J314" s="316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4.25" customHeight="1" x14ac:dyDescent="0.2">
      <c r="A315" s="398"/>
      <c r="B315" s="318"/>
      <c r="C315" s="318"/>
      <c r="D315" s="318"/>
      <c r="E315" s="318"/>
      <c r="F315" s="318"/>
      <c r="G315" s="318"/>
      <c r="H315" s="318"/>
      <c r="I315" s="318"/>
      <c r="J315" s="316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27" customHeight="1" x14ac:dyDescent="0.2">
      <c r="A316" s="394" t="s">
        <v>299</v>
      </c>
      <c r="B316" s="318"/>
      <c r="C316" s="318"/>
      <c r="D316" s="318"/>
      <c r="E316" s="316"/>
      <c r="F316" s="321" t="e">
        <f>I246</f>
        <v>#DIV/0!</v>
      </c>
      <c r="G316" s="316"/>
      <c r="H316" s="169">
        <f t="shared" ref="H316:H322" si="11">J22</f>
        <v>741.56</v>
      </c>
      <c r="I316" s="395" t="e">
        <f t="shared" ref="I316:I321" si="12">ROUND(F316*H316,2)</f>
        <v>#DIV/0!</v>
      </c>
      <c r="J316" s="316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4.25" customHeight="1" x14ac:dyDescent="0.2">
      <c r="A317" s="394" t="s">
        <v>546</v>
      </c>
      <c r="B317" s="318"/>
      <c r="C317" s="318"/>
      <c r="D317" s="318"/>
      <c r="E317" s="316"/>
      <c r="F317" s="321" t="e">
        <f>I250</f>
        <v>#DIV/0!</v>
      </c>
      <c r="G317" s="316"/>
      <c r="H317" s="169">
        <f t="shared" si="11"/>
        <v>0</v>
      </c>
      <c r="I317" s="395" t="e">
        <f t="shared" si="12"/>
        <v>#DIV/0!</v>
      </c>
      <c r="J317" s="316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4.25" customHeight="1" x14ac:dyDescent="0.2">
      <c r="A318" s="394" t="s">
        <v>547</v>
      </c>
      <c r="B318" s="318"/>
      <c r="C318" s="318"/>
      <c r="D318" s="318"/>
      <c r="E318" s="316"/>
      <c r="F318" s="321" t="e">
        <f>I254</f>
        <v>#DIV/0!</v>
      </c>
      <c r="G318" s="316"/>
      <c r="H318" s="169">
        <f t="shared" si="11"/>
        <v>0</v>
      </c>
      <c r="I318" s="395" t="e">
        <f t="shared" si="12"/>
        <v>#DIV/0!</v>
      </c>
      <c r="J318" s="316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4.25" customHeight="1" x14ac:dyDescent="0.2">
      <c r="A319" s="394" t="s">
        <v>548</v>
      </c>
      <c r="B319" s="318"/>
      <c r="C319" s="318"/>
      <c r="D319" s="318"/>
      <c r="E319" s="316"/>
      <c r="F319" s="321" t="e">
        <f>I258</f>
        <v>#DIV/0!</v>
      </c>
      <c r="G319" s="316"/>
      <c r="H319" s="169">
        <f t="shared" si="11"/>
        <v>0</v>
      </c>
      <c r="I319" s="395" t="e">
        <f t="shared" si="12"/>
        <v>#DIV/0!</v>
      </c>
      <c r="J319" s="316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4.25" customHeight="1" x14ac:dyDescent="0.2">
      <c r="A320" s="394" t="s">
        <v>549</v>
      </c>
      <c r="B320" s="318"/>
      <c r="C320" s="318"/>
      <c r="D320" s="318"/>
      <c r="E320" s="316"/>
      <c r="F320" s="321">
        <f>I262</f>
        <v>1.77</v>
      </c>
      <c r="G320" s="316"/>
      <c r="H320" s="169">
        <f t="shared" si="11"/>
        <v>494.55</v>
      </c>
      <c r="I320" s="395">
        <f t="shared" si="12"/>
        <v>875.35</v>
      </c>
      <c r="J320" s="316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25.5" customHeight="1" x14ac:dyDescent="0.2">
      <c r="A321" s="396" t="s">
        <v>550</v>
      </c>
      <c r="B321" s="318"/>
      <c r="C321" s="318"/>
      <c r="D321" s="318"/>
      <c r="E321" s="316"/>
      <c r="F321" s="321" t="e">
        <f>I266</f>
        <v>#DIV/0!</v>
      </c>
      <c r="G321" s="316"/>
      <c r="H321" s="169">
        <f t="shared" si="11"/>
        <v>0</v>
      </c>
      <c r="I321" s="395" t="e">
        <f t="shared" si="12"/>
        <v>#DIV/0!</v>
      </c>
      <c r="J321" s="316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4.25" customHeight="1" x14ac:dyDescent="0.2">
      <c r="A322" s="397" t="s">
        <v>305</v>
      </c>
      <c r="B322" s="318"/>
      <c r="C322" s="318"/>
      <c r="D322" s="318"/>
      <c r="E322" s="318"/>
      <c r="F322" s="318"/>
      <c r="G322" s="316"/>
      <c r="H322" s="232">
        <f t="shared" si="11"/>
        <v>1236.1099999999999</v>
      </c>
      <c r="I322" s="367" t="e">
        <f>ROUND(SUM(I316:I321),2)</f>
        <v>#DIV/0!</v>
      </c>
      <c r="J322" s="316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4.25" customHeight="1" x14ac:dyDescent="0.2">
      <c r="A323" s="398"/>
      <c r="B323" s="318"/>
      <c r="C323" s="318"/>
      <c r="D323" s="318"/>
      <c r="E323" s="318"/>
      <c r="F323" s="318"/>
      <c r="G323" s="318"/>
      <c r="H323" s="318"/>
      <c r="I323" s="318"/>
      <c r="J323" s="316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27" customHeight="1" x14ac:dyDescent="0.2">
      <c r="A324" s="394" t="s">
        <v>306</v>
      </c>
      <c r="B324" s="318"/>
      <c r="C324" s="318"/>
      <c r="D324" s="318"/>
      <c r="E324" s="316"/>
      <c r="F324" s="321" t="e">
        <f>J274</f>
        <v>#DIV/0!</v>
      </c>
      <c r="G324" s="316"/>
      <c r="H324" s="230">
        <f t="shared" ref="H324:H327" si="13">J30</f>
        <v>1163.3399999999999</v>
      </c>
      <c r="I324" s="395" t="e">
        <f>ROUND(F324*H324,2)</f>
        <v>#DIV/0!</v>
      </c>
      <c r="J324" s="316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4.25" customHeight="1" x14ac:dyDescent="0.2">
      <c r="A325" s="394" t="s">
        <v>551</v>
      </c>
      <c r="B325" s="318"/>
      <c r="C325" s="318"/>
      <c r="D325" s="318"/>
      <c r="E325" s="316"/>
      <c r="F325" s="321" t="e">
        <f>J278</f>
        <v>#DIV/0!</v>
      </c>
      <c r="G325" s="316"/>
      <c r="H325" s="230">
        <f t="shared" si="13"/>
        <v>760.32</v>
      </c>
      <c r="I325" s="395" t="e">
        <f t="shared" ref="I325:I326" si="14">ROUND((F325*H325),2)</f>
        <v>#DIV/0!</v>
      </c>
      <c r="J325" s="316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4.25" customHeight="1" x14ac:dyDescent="0.2">
      <c r="A326" s="394" t="s">
        <v>552</v>
      </c>
      <c r="B326" s="318"/>
      <c r="C326" s="318"/>
      <c r="D326" s="318"/>
      <c r="E326" s="316"/>
      <c r="F326" s="321" t="e">
        <f>J282</f>
        <v>#DIV/0!</v>
      </c>
      <c r="G326" s="316"/>
      <c r="H326" s="230">
        <f t="shared" si="13"/>
        <v>1863.68</v>
      </c>
      <c r="I326" s="395" t="e">
        <f t="shared" si="14"/>
        <v>#DIV/0!</v>
      </c>
      <c r="J326" s="316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4.25" customHeight="1" x14ac:dyDescent="0.2">
      <c r="A327" s="397" t="s">
        <v>553</v>
      </c>
      <c r="B327" s="318"/>
      <c r="C327" s="318"/>
      <c r="D327" s="318"/>
      <c r="E327" s="318"/>
      <c r="F327" s="318"/>
      <c r="G327" s="316"/>
      <c r="H327" s="231">
        <f t="shared" si="13"/>
        <v>3787.34</v>
      </c>
      <c r="I327" s="367" t="e">
        <f>ROUND(SUM(I324:I326),2)</f>
        <v>#DIV/0!</v>
      </c>
      <c r="J327" s="316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4.25" customHeight="1" x14ac:dyDescent="0.2">
      <c r="A328" s="398"/>
      <c r="B328" s="318"/>
      <c r="C328" s="318"/>
      <c r="D328" s="318"/>
      <c r="E328" s="318"/>
      <c r="F328" s="318"/>
      <c r="G328" s="318"/>
      <c r="H328" s="318"/>
      <c r="I328" s="318"/>
      <c r="J328" s="316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4.25" customHeight="1" x14ac:dyDescent="0.2">
      <c r="A329" s="358" t="s">
        <v>554</v>
      </c>
      <c r="B329" s="318"/>
      <c r="C329" s="318"/>
      <c r="D329" s="318"/>
      <c r="E329" s="316"/>
      <c r="F329" s="400" t="e">
        <f>J290</f>
        <v>#DIV/0!</v>
      </c>
      <c r="G329" s="316"/>
      <c r="H329" s="233">
        <f>J36</f>
        <v>0</v>
      </c>
      <c r="I329" s="401" t="e">
        <f>ROUND(F329*H329,2)</f>
        <v>#DIV/0!</v>
      </c>
      <c r="J329" s="316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4.25" customHeight="1" x14ac:dyDescent="0.2">
      <c r="A330" s="397" t="s">
        <v>555</v>
      </c>
      <c r="B330" s="318"/>
      <c r="C330" s="318"/>
      <c r="D330" s="318"/>
      <c r="E330" s="318"/>
      <c r="F330" s="318"/>
      <c r="G330" s="316"/>
      <c r="H330" s="231">
        <f t="shared" ref="H330:I330" si="15">H329</f>
        <v>0</v>
      </c>
      <c r="I330" s="367" t="e">
        <f t="shared" si="15"/>
        <v>#DIV/0!</v>
      </c>
      <c r="J330" s="316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4.25" customHeight="1" x14ac:dyDescent="0.2">
      <c r="A331" s="398"/>
      <c r="B331" s="318"/>
      <c r="C331" s="318"/>
      <c r="D331" s="318"/>
      <c r="E331" s="318"/>
      <c r="F331" s="318"/>
      <c r="G331" s="318"/>
      <c r="H331" s="318"/>
      <c r="I331" s="318"/>
      <c r="J331" s="316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75" customHeight="1" x14ac:dyDescent="0.2">
      <c r="A332" s="402" t="s">
        <v>312</v>
      </c>
      <c r="B332" s="318"/>
      <c r="C332" s="318"/>
      <c r="D332" s="318"/>
      <c r="E332" s="316"/>
      <c r="F332" s="399"/>
      <c r="G332" s="316"/>
      <c r="H332" s="229">
        <v>0</v>
      </c>
      <c r="I332" s="395">
        <v>0</v>
      </c>
      <c r="J332" s="316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4.25" customHeight="1" x14ac:dyDescent="0.2">
      <c r="A333" s="403" t="s">
        <v>556</v>
      </c>
      <c r="B333" s="318"/>
      <c r="C333" s="318"/>
      <c r="D333" s="318"/>
      <c r="E333" s="318"/>
      <c r="F333" s="318"/>
      <c r="G333" s="316"/>
      <c r="H333" s="233">
        <f>J37</f>
        <v>0</v>
      </c>
      <c r="I333" s="401">
        <f>J332</f>
        <v>0</v>
      </c>
      <c r="J333" s="316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75" customHeight="1" x14ac:dyDescent="0.2">
      <c r="A334" s="398"/>
      <c r="B334" s="318"/>
      <c r="C334" s="318"/>
      <c r="D334" s="318"/>
      <c r="E334" s="318"/>
      <c r="F334" s="318"/>
      <c r="G334" s="318"/>
      <c r="H334" s="318"/>
      <c r="I334" s="318"/>
      <c r="J334" s="316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4.25" customHeight="1" x14ac:dyDescent="0.2">
      <c r="A335" s="394" t="s">
        <v>314</v>
      </c>
      <c r="B335" s="318"/>
      <c r="C335" s="318"/>
      <c r="D335" s="318"/>
      <c r="E335" s="318"/>
      <c r="F335" s="318"/>
      <c r="G335" s="316"/>
      <c r="H335" s="229">
        <f>J39</f>
        <v>0</v>
      </c>
      <c r="I335" s="395">
        <f>J335</f>
        <v>0</v>
      </c>
      <c r="J335" s="316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4.25" customHeight="1" x14ac:dyDescent="0.2">
      <c r="A336" s="403" t="s">
        <v>315</v>
      </c>
      <c r="B336" s="318"/>
      <c r="C336" s="318"/>
      <c r="D336" s="318"/>
      <c r="E336" s="318"/>
      <c r="F336" s="318"/>
      <c r="G336" s="316"/>
      <c r="H336" s="233">
        <v>0</v>
      </c>
      <c r="I336" s="401">
        <f>I335</f>
        <v>0</v>
      </c>
      <c r="J336" s="316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4.25" customHeight="1" x14ac:dyDescent="0.2">
      <c r="A337" s="398"/>
      <c r="B337" s="318"/>
      <c r="C337" s="318"/>
      <c r="D337" s="318"/>
      <c r="E337" s="318"/>
      <c r="F337" s="318"/>
      <c r="G337" s="318"/>
      <c r="H337" s="318"/>
      <c r="I337" s="318"/>
      <c r="J337" s="316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4.25" customHeight="1" x14ac:dyDescent="0.2">
      <c r="A338" s="403" t="s">
        <v>476</v>
      </c>
      <c r="B338" s="318"/>
      <c r="C338" s="318"/>
      <c r="D338" s="318"/>
      <c r="E338" s="318"/>
      <c r="F338" s="318"/>
      <c r="G338" s="316"/>
      <c r="H338" s="233">
        <f>ROUND(H314+H322+H327+H330+H333+H336,2)</f>
        <v>23896.41</v>
      </c>
      <c r="I338" s="401" t="e">
        <f>SUM(I314+I322+I327+I330+I333+I336)</f>
        <v>#DIV/0!</v>
      </c>
      <c r="J338" s="316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75" customHeight="1" x14ac:dyDescent="0.2">
      <c r="A339" s="398"/>
      <c r="B339" s="318"/>
      <c r="C339" s="318"/>
      <c r="D339" s="318"/>
      <c r="E339" s="318"/>
      <c r="F339" s="318"/>
      <c r="G339" s="318"/>
      <c r="H339" s="318"/>
      <c r="I339" s="318"/>
      <c r="J339" s="316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9.5" customHeight="1" x14ac:dyDescent="0.2">
      <c r="A340" s="404" t="s">
        <v>557</v>
      </c>
      <c r="B340" s="318"/>
      <c r="C340" s="318"/>
      <c r="D340" s="318"/>
      <c r="E340" s="318"/>
      <c r="F340" s="318"/>
      <c r="G340" s="318"/>
      <c r="H340" s="316"/>
      <c r="I340" s="405" t="e">
        <f>I338</f>
        <v>#DIV/0!</v>
      </c>
      <c r="J340" s="316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75" customHeight="1" x14ac:dyDescent="0.2">
      <c r="A341" s="398"/>
      <c r="B341" s="318"/>
      <c r="C341" s="318"/>
      <c r="D341" s="318"/>
      <c r="E341" s="318"/>
      <c r="F341" s="318"/>
      <c r="G341" s="318"/>
      <c r="H341" s="318"/>
      <c r="I341" s="318"/>
      <c r="J341" s="316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9.5" customHeight="1" x14ac:dyDescent="0.2">
      <c r="A342" s="404" t="s">
        <v>558</v>
      </c>
      <c r="B342" s="318"/>
      <c r="C342" s="318"/>
      <c r="D342" s="318"/>
      <c r="E342" s="318"/>
      <c r="F342" s="318"/>
      <c r="G342" s="318"/>
      <c r="H342" s="316"/>
      <c r="I342" s="405">
        <f>H10</f>
        <v>20</v>
      </c>
      <c r="J342" s="316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75" customHeight="1" x14ac:dyDescent="0.2">
      <c r="A343" s="398"/>
      <c r="B343" s="318"/>
      <c r="C343" s="318"/>
      <c r="D343" s="318"/>
      <c r="E343" s="318"/>
      <c r="F343" s="318"/>
      <c r="G343" s="318"/>
      <c r="H343" s="318"/>
      <c r="I343" s="318"/>
      <c r="J343" s="316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9.5" customHeight="1" x14ac:dyDescent="0.2">
      <c r="A344" s="404" t="s">
        <v>559</v>
      </c>
      <c r="B344" s="318"/>
      <c r="C344" s="318"/>
      <c r="D344" s="318"/>
      <c r="E344" s="318"/>
      <c r="F344" s="318"/>
      <c r="G344" s="318"/>
      <c r="H344" s="316"/>
      <c r="I344" s="405" t="e">
        <f>ROUND(I338*I342,2)</f>
        <v>#DIV/0!</v>
      </c>
      <c r="J344" s="316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75" customHeight="1" x14ac:dyDescent="0.2">
      <c r="A345" s="398"/>
      <c r="B345" s="318"/>
      <c r="C345" s="318"/>
      <c r="D345" s="318"/>
      <c r="E345" s="318"/>
      <c r="F345" s="318"/>
      <c r="G345" s="318"/>
      <c r="H345" s="318"/>
      <c r="I345" s="318"/>
      <c r="J345" s="316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4.25" customHeight="1" x14ac:dyDescent="0.2">
      <c r="A346" s="358" t="s">
        <v>560</v>
      </c>
      <c r="B346" s="318"/>
      <c r="C346" s="318"/>
      <c r="D346" s="318"/>
      <c r="E346" s="318"/>
      <c r="F346" s="318"/>
      <c r="G346" s="318"/>
      <c r="H346" s="318"/>
      <c r="I346" s="318"/>
      <c r="J346" s="316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75" customHeight="1" x14ac:dyDescent="0.2">
      <c r="A347" s="383" t="s">
        <v>561</v>
      </c>
      <c r="B347" s="318"/>
      <c r="C347" s="318"/>
      <c r="D347" s="318"/>
      <c r="E347" s="318"/>
      <c r="F347" s="316"/>
      <c r="G347" s="383" t="s">
        <v>562</v>
      </c>
      <c r="H347" s="318"/>
      <c r="I347" s="318"/>
      <c r="J347" s="316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75" customHeight="1" x14ac:dyDescent="0.2">
      <c r="A348" s="382" t="s">
        <v>563</v>
      </c>
      <c r="B348" s="318"/>
      <c r="C348" s="318"/>
      <c r="D348" s="318"/>
      <c r="E348" s="318"/>
      <c r="F348" s="316"/>
      <c r="G348" s="369">
        <v>12</v>
      </c>
      <c r="H348" s="318"/>
      <c r="I348" s="318"/>
      <c r="J348" s="316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75" customHeight="1" x14ac:dyDescent="0.2">
      <c r="A349" s="382" t="s">
        <v>564</v>
      </c>
      <c r="B349" s="318"/>
      <c r="C349" s="318"/>
      <c r="D349" s="318"/>
      <c r="E349" s="318"/>
      <c r="F349" s="316"/>
      <c r="G349" s="369"/>
      <c r="H349" s="318"/>
      <c r="I349" s="318"/>
      <c r="J349" s="316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75" customHeight="1" x14ac:dyDescent="0.2">
      <c r="A350" s="398"/>
      <c r="B350" s="318"/>
      <c r="C350" s="318"/>
      <c r="D350" s="318"/>
      <c r="E350" s="318"/>
      <c r="F350" s="318"/>
      <c r="G350" s="318"/>
      <c r="H350" s="318"/>
      <c r="I350" s="318"/>
      <c r="J350" s="316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27" customHeight="1" x14ac:dyDescent="0.2">
      <c r="A351" s="358" t="s">
        <v>565</v>
      </c>
      <c r="B351" s="318"/>
      <c r="C351" s="318"/>
      <c r="D351" s="318"/>
      <c r="E351" s="318"/>
      <c r="F351" s="318"/>
      <c r="G351" s="318"/>
      <c r="H351" s="318"/>
      <c r="I351" s="318"/>
      <c r="J351" s="316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4.25" customHeight="1" x14ac:dyDescent="0.2">
      <c r="A352" s="365" t="s">
        <v>566</v>
      </c>
      <c r="B352" s="318"/>
      <c r="C352" s="318"/>
      <c r="D352" s="318"/>
      <c r="E352" s="318"/>
      <c r="F352" s="318"/>
      <c r="G352" s="318"/>
      <c r="H352" s="318"/>
      <c r="I352" s="316"/>
      <c r="J352" s="197" t="s">
        <v>567</v>
      </c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75" customHeight="1" x14ac:dyDescent="0.2">
      <c r="A353" s="406" t="s">
        <v>568</v>
      </c>
      <c r="B353" s="318"/>
      <c r="C353" s="318"/>
      <c r="D353" s="318"/>
      <c r="E353" s="318"/>
      <c r="F353" s="318"/>
      <c r="G353" s="318"/>
      <c r="H353" s="318"/>
      <c r="I353" s="316"/>
      <c r="J353" s="138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75" customHeight="1" x14ac:dyDescent="0.2">
      <c r="A354" s="402"/>
      <c r="B354" s="318"/>
      <c r="C354" s="318"/>
      <c r="D354" s="318"/>
      <c r="E354" s="318"/>
      <c r="F354" s="318"/>
      <c r="G354" s="318"/>
      <c r="H354" s="318"/>
      <c r="I354" s="316"/>
      <c r="J354" s="138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75" customHeight="1" x14ac:dyDescent="0.2">
      <c r="A355" s="394"/>
      <c r="B355" s="318"/>
      <c r="C355" s="318"/>
      <c r="D355" s="318"/>
      <c r="E355" s="318"/>
      <c r="F355" s="318"/>
      <c r="G355" s="318"/>
      <c r="H355" s="318"/>
      <c r="I355" s="316"/>
      <c r="J355" s="138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2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2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2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2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2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2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2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2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2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2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2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2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2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2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2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2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2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2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2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2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2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2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2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2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2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2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2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2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2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2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2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2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2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2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2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2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2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2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2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2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2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2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2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2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2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2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2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2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2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540">
    <mergeCell ref="A299:C299"/>
    <mergeCell ref="E299:F299"/>
    <mergeCell ref="G299:H299"/>
    <mergeCell ref="I299:J299"/>
    <mergeCell ref="A300:H300"/>
    <mergeCell ref="I300:J300"/>
    <mergeCell ref="I318:J318"/>
    <mergeCell ref="I319:J319"/>
    <mergeCell ref="A317:E317"/>
    <mergeCell ref="F317:G317"/>
    <mergeCell ref="I317:J317"/>
    <mergeCell ref="A318:E318"/>
    <mergeCell ref="F318:G318"/>
    <mergeCell ref="A319:E319"/>
    <mergeCell ref="F319:G319"/>
    <mergeCell ref="A292:J292"/>
    <mergeCell ref="A293:J293"/>
    <mergeCell ref="A294:J294"/>
    <mergeCell ref="A295:J296"/>
    <mergeCell ref="A297:C297"/>
    <mergeCell ref="D297:F297"/>
    <mergeCell ref="G297:H297"/>
    <mergeCell ref="I297:J297"/>
    <mergeCell ref="G298:H298"/>
    <mergeCell ref="I298:J298"/>
    <mergeCell ref="A298:C298"/>
    <mergeCell ref="A283:I283"/>
    <mergeCell ref="A284:J284"/>
    <mergeCell ref="A285:J285"/>
    <mergeCell ref="A286:J286"/>
    <mergeCell ref="A287:J287"/>
    <mergeCell ref="B288:D288"/>
    <mergeCell ref="F288:G288"/>
    <mergeCell ref="C290:D290"/>
    <mergeCell ref="A291:I291"/>
    <mergeCell ref="A267:H267"/>
    <mergeCell ref="I267:J267"/>
    <mergeCell ref="A268:J268"/>
    <mergeCell ref="C274:D274"/>
    <mergeCell ref="C278:D278"/>
    <mergeCell ref="C282:D282"/>
    <mergeCell ref="A269:J269"/>
    <mergeCell ref="A270:J270"/>
    <mergeCell ref="A271:J271"/>
    <mergeCell ref="B272:D272"/>
    <mergeCell ref="F272:G272"/>
    <mergeCell ref="A275:I275"/>
    <mergeCell ref="A276:J276"/>
    <mergeCell ref="A279:I279"/>
    <mergeCell ref="A280:J280"/>
    <mergeCell ref="A263:H263"/>
    <mergeCell ref="I263:J263"/>
    <mergeCell ref="A264:J264"/>
    <mergeCell ref="A265:C265"/>
    <mergeCell ref="G265:H265"/>
    <mergeCell ref="I265:J265"/>
    <mergeCell ref="A266:C266"/>
    <mergeCell ref="E266:F266"/>
    <mergeCell ref="G266:H266"/>
    <mergeCell ref="I266:J266"/>
    <mergeCell ref="A256:J256"/>
    <mergeCell ref="A257:C257"/>
    <mergeCell ref="G257:H257"/>
    <mergeCell ref="I257:J257"/>
    <mergeCell ref="A258:C258"/>
    <mergeCell ref="E258:F258"/>
    <mergeCell ref="G258:H258"/>
    <mergeCell ref="I258:J258"/>
    <mergeCell ref="E262:F262"/>
    <mergeCell ref="G262:H262"/>
    <mergeCell ref="A259:H259"/>
    <mergeCell ref="I259:J259"/>
    <mergeCell ref="A260:J260"/>
    <mergeCell ref="A261:C261"/>
    <mergeCell ref="G261:H261"/>
    <mergeCell ref="I261:J261"/>
    <mergeCell ref="I262:J262"/>
    <mergeCell ref="A262:C262"/>
    <mergeCell ref="A252:J252"/>
    <mergeCell ref="A253:C253"/>
    <mergeCell ref="G253:H253"/>
    <mergeCell ref="I253:J253"/>
    <mergeCell ref="A254:C254"/>
    <mergeCell ref="E254:F254"/>
    <mergeCell ref="G254:H254"/>
    <mergeCell ref="I254:J254"/>
    <mergeCell ref="A255:H255"/>
    <mergeCell ref="I255:J255"/>
    <mergeCell ref="I247:J247"/>
    <mergeCell ref="A248:J248"/>
    <mergeCell ref="G249:H249"/>
    <mergeCell ref="I249:J249"/>
    <mergeCell ref="E250:F250"/>
    <mergeCell ref="I250:J250"/>
    <mergeCell ref="G250:H250"/>
    <mergeCell ref="A251:H251"/>
    <mergeCell ref="I251:J251"/>
    <mergeCell ref="A238:C238"/>
    <mergeCell ref="E238:F238"/>
    <mergeCell ref="G238:H238"/>
    <mergeCell ref="I238:J238"/>
    <mergeCell ref="A244:C244"/>
    <mergeCell ref="A245:C245"/>
    <mergeCell ref="A246:C246"/>
    <mergeCell ref="A249:C249"/>
    <mergeCell ref="A250:C250"/>
    <mergeCell ref="A239:H239"/>
    <mergeCell ref="I239:J239"/>
    <mergeCell ref="A240:J240"/>
    <mergeCell ref="A241:J241"/>
    <mergeCell ref="A242:J242"/>
    <mergeCell ref="A243:J243"/>
    <mergeCell ref="I244:J244"/>
    <mergeCell ref="D244:F244"/>
    <mergeCell ref="G244:H244"/>
    <mergeCell ref="G245:H245"/>
    <mergeCell ref="I245:J245"/>
    <mergeCell ref="E246:F246"/>
    <mergeCell ref="G246:H246"/>
    <mergeCell ref="I246:J246"/>
    <mergeCell ref="A247:H247"/>
    <mergeCell ref="A234:C234"/>
    <mergeCell ref="E234:F234"/>
    <mergeCell ref="G234:H234"/>
    <mergeCell ref="I234:J234"/>
    <mergeCell ref="A235:H235"/>
    <mergeCell ref="I235:J235"/>
    <mergeCell ref="A236:J236"/>
    <mergeCell ref="A237:C237"/>
    <mergeCell ref="G237:H237"/>
    <mergeCell ref="I237:J237"/>
    <mergeCell ref="E230:F230"/>
    <mergeCell ref="I230:J230"/>
    <mergeCell ref="G230:H230"/>
    <mergeCell ref="A231:H231"/>
    <mergeCell ref="I231:J231"/>
    <mergeCell ref="A232:J232"/>
    <mergeCell ref="A233:C233"/>
    <mergeCell ref="G233:H233"/>
    <mergeCell ref="I233:J233"/>
    <mergeCell ref="A230:C230"/>
    <mergeCell ref="A217:C217"/>
    <mergeCell ref="E218:F218"/>
    <mergeCell ref="G218:H218"/>
    <mergeCell ref="I218:J218"/>
    <mergeCell ref="A219:H219"/>
    <mergeCell ref="I219:J219"/>
    <mergeCell ref="A220:J220"/>
    <mergeCell ref="G222:H222"/>
    <mergeCell ref="G225:H225"/>
    <mergeCell ref="I225:J225"/>
    <mergeCell ref="E226:F226"/>
    <mergeCell ref="G226:H226"/>
    <mergeCell ref="I226:J226"/>
    <mergeCell ref="G221:H221"/>
    <mergeCell ref="I221:J221"/>
    <mergeCell ref="E222:F222"/>
    <mergeCell ref="I222:J222"/>
    <mergeCell ref="A223:H223"/>
    <mergeCell ref="I223:J223"/>
    <mergeCell ref="A224:J224"/>
    <mergeCell ref="A227:H227"/>
    <mergeCell ref="I227:J227"/>
    <mergeCell ref="A228:J228"/>
    <mergeCell ref="A216:J216"/>
    <mergeCell ref="G217:H217"/>
    <mergeCell ref="I217:J217"/>
    <mergeCell ref="A218:C218"/>
    <mergeCell ref="A221:C221"/>
    <mergeCell ref="A222:C222"/>
    <mergeCell ref="A225:C225"/>
    <mergeCell ref="A226:C226"/>
    <mergeCell ref="A229:C229"/>
    <mergeCell ref="G229:H229"/>
    <mergeCell ref="I229:J229"/>
    <mergeCell ref="A206:I206"/>
    <mergeCell ref="B207:I207"/>
    <mergeCell ref="A208:I208"/>
    <mergeCell ref="G212:H212"/>
    <mergeCell ref="G213:H213"/>
    <mergeCell ref="G214:H214"/>
    <mergeCell ref="I214:J214"/>
    <mergeCell ref="I215:J215"/>
    <mergeCell ref="A209:J209"/>
    <mergeCell ref="A210:J210"/>
    <mergeCell ref="A211:J211"/>
    <mergeCell ref="A212:C212"/>
    <mergeCell ref="D212:F212"/>
    <mergeCell ref="I212:J212"/>
    <mergeCell ref="I213:J213"/>
    <mergeCell ref="A213:C213"/>
    <mergeCell ref="A214:C214"/>
    <mergeCell ref="E214:F214"/>
    <mergeCell ref="A215:H215"/>
    <mergeCell ref="B184:H184"/>
    <mergeCell ref="B185:H185"/>
    <mergeCell ref="B186:H186"/>
    <mergeCell ref="B187:H187"/>
    <mergeCell ref="B188:H188"/>
    <mergeCell ref="B202:I202"/>
    <mergeCell ref="B203:I203"/>
    <mergeCell ref="B204:I204"/>
    <mergeCell ref="B205:I205"/>
    <mergeCell ref="A176:H176"/>
    <mergeCell ref="B177:H177"/>
    <mergeCell ref="A178:H178"/>
    <mergeCell ref="B179:H179"/>
    <mergeCell ref="A180:H180"/>
    <mergeCell ref="B181:H181"/>
    <mergeCell ref="L181:M181"/>
    <mergeCell ref="B182:H182"/>
    <mergeCell ref="B183:H183"/>
    <mergeCell ref="B167:I167"/>
    <mergeCell ref="B168:I168"/>
    <mergeCell ref="B169:I169"/>
    <mergeCell ref="A170:I170"/>
    <mergeCell ref="A171:J171"/>
    <mergeCell ref="A172:J172"/>
    <mergeCell ref="A173:J173"/>
    <mergeCell ref="A174:J174"/>
    <mergeCell ref="B175:H175"/>
    <mergeCell ref="A197:J197"/>
    <mergeCell ref="A198:J198"/>
    <mergeCell ref="A199:J199"/>
    <mergeCell ref="A200:I200"/>
    <mergeCell ref="B201:I201"/>
    <mergeCell ref="A148:J148"/>
    <mergeCell ref="A149:J149"/>
    <mergeCell ref="B150:I150"/>
    <mergeCell ref="B151:I151"/>
    <mergeCell ref="A152:I152"/>
    <mergeCell ref="B153:I153"/>
    <mergeCell ref="A154:I154"/>
    <mergeCell ref="A155:J155"/>
    <mergeCell ref="A156:J156"/>
    <mergeCell ref="A157:J157"/>
    <mergeCell ref="A158:J158"/>
    <mergeCell ref="B159:I159"/>
    <mergeCell ref="B160:I160"/>
    <mergeCell ref="B161:I161"/>
    <mergeCell ref="A162:I162"/>
    <mergeCell ref="A163:J163"/>
    <mergeCell ref="A164:J164"/>
    <mergeCell ref="B165:I165"/>
    <mergeCell ref="B166:I166"/>
    <mergeCell ref="B189:H189"/>
    <mergeCell ref="A190:I190"/>
    <mergeCell ref="A191:J191"/>
    <mergeCell ref="A192:H192"/>
    <mergeCell ref="A193:C195"/>
    <mergeCell ref="D193:J193"/>
    <mergeCell ref="D194:J194"/>
    <mergeCell ref="D195:J195"/>
    <mergeCell ref="A196:J196"/>
    <mergeCell ref="F316:G316"/>
    <mergeCell ref="I316:J316"/>
    <mergeCell ref="A312:E312"/>
    <mergeCell ref="F312:G312"/>
    <mergeCell ref="A313:E313"/>
    <mergeCell ref="F313:G313"/>
    <mergeCell ref="A314:G314"/>
    <mergeCell ref="A315:J315"/>
    <mergeCell ref="A316:E316"/>
    <mergeCell ref="I308:J308"/>
    <mergeCell ref="I310:J310"/>
    <mergeCell ref="I311:J311"/>
    <mergeCell ref="I312:J312"/>
    <mergeCell ref="I313:J313"/>
    <mergeCell ref="I314:J314"/>
    <mergeCell ref="A309:E309"/>
    <mergeCell ref="F309:G309"/>
    <mergeCell ref="I309:J309"/>
    <mergeCell ref="A310:E310"/>
    <mergeCell ref="F310:G310"/>
    <mergeCell ref="A311:E311"/>
    <mergeCell ref="F311:G311"/>
    <mergeCell ref="A345:J345"/>
    <mergeCell ref="A346:J346"/>
    <mergeCell ref="A351:J351"/>
    <mergeCell ref="A352:I352"/>
    <mergeCell ref="A353:I353"/>
    <mergeCell ref="A354:I354"/>
    <mergeCell ref="A355:I355"/>
    <mergeCell ref="A347:F347"/>
    <mergeCell ref="G347:J347"/>
    <mergeCell ref="A348:F348"/>
    <mergeCell ref="G348:J348"/>
    <mergeCell ref="A349:F349"/>
    <mergeCell ref="G349:J349"/>
    <mergeCell ref="A350:J350"/>
    <mergeCell ref="A339:J339"/>
    <mergeCell ref="A340:H340"/>
    <mergeCell ref="I340:J340"/>
    <mergeCell ref="A341:J341"/>
    <mergeCell ref="A342:H342"/>
    <mergeCell ref="I342:J342"/>
    <mergeCell ref="A343:J343"/>
    <mergeCell ref="A344:H344"/>
    <mergeCell ref="I344:J344"/>
    <mergeCell ref="A333:G333"/>
    <mergeCell ref="I333:J333"/>
    <mergeCell ref="A334:J334"/>
    <mergeCell ref="A335:G335"/>
    <mergeCell ref="I335:J335"/>
    <mergeCell ref="A336:G336"/>
    <mergeCell ref="I336:J336"/>
    <mergeCell ref="A337:J337"/>
    <mergeCell ref="A338:G338"/>
    <mergeCell ref="I338:J338"/>
    <mergeCell ref="I322:J322"/>
    <mergeCell ref="A322:G322"/>
    <mergeCell ref="A323:J323"/>
    <mergeCell ref="A324:E324"/>
    <mergeCell ref="F324:G324"/>
    <mergeCell ref="I324:J324"/>
    <mergeCell ref="F325:G325"/>
    <mergeCell ref="I325:J325"/>
    <mergeCell ref="F332:G332"/>
    <mergeCell ref="I332:J332"/>
    <mergeCell ref="A329:E329"/>
    <mergeCell ref="F329:G329"/>
    <mergeCell ref="I329:J329"/>
    <mergeCell ref="A330:G330"/>
    <mergeCell ref="I330:J330"/>
    <mergeCell ref="A331:J331"/>
    <mergeCell ref="A332:E332"/>
    <mergeCell ref="A325:E325"/>
    <mergeCell ref="A326:E326"/>
    <mergeCell ref="F326:G326"/>
    <mergeCell ref="I326:J326"/>
    <mergeCell ref="A327:G327"/>
    <mergeCell ref="I327:J327"/>
    <mergeCell ref="A328:J328"/>
    <mergeCell ref="B143:I143"/>
    <mergeCell ref="A144:I144"/>
    <mergeCell ref="B145:I145"/>
    <mergeCell ref="A146:I146"/>
    <mergeCell ref="A147:J147"/>
    <mergeCell ref="A320:E320"/>
    <mergeCell ref="F320:G320"/>
    <mergeCell ref="I320:J320"/>
    <mergeCell ref="A321:E321"/>
    <mergeCell ref="F321:G321"/>
    <mergeCell ref="I321:J321"/>
    <mergeCell ref="A301:J301"/>
    <mergeCell ref="A302:J302"/>
    <mergeCell ref="A303:J303"/>
    <mergeCell ref="A304:J304"/>
    <mergeCell ref="A305:J305"/>
    <mergeCell ref="F306:G306"/>
    <mergeCell ref="I306:J306"/>
    <mergeCell ref="A306:E306"/>
    <mergeCell ref="A307:E307"/>
    <mergeCell ref="F307:G307"/>
    <mergeCell ref="I307:J307"/>
    <mergeCell ref="A308:E308"/>
    <mergeCell ref="F308:G308"/>
    <mergeCell ref="B120:I120"/>
    <mergeCell ref="A121:I121"/>
    <mergeCell ref="A122:J122"/>
    <mergeCell ref="A123:J123"/>
    <mergeCell ref="B124:I124"/>
    <mergeCell ref="B125:I125"/>
    <mergeCell ref="B126:I126"/>
    <mergeCell ref="B141:I141"/>
    <mergeCell ref="B142:I142"/>
    <mergeCell ref="B137:I137"/>
    <mergeCell ref="B138:I138"/>
    <mergeCell ref="B139:I139"/>
    <mergeCell ref="B140:I140"/>
    <mergeCell ref="B85:H85"/>
    <mergeCell ref="B86:H86"/>
    <mergeCell ref="B87:D87"/>
    <mergeCell ref="B88:H88"/>
    <mergeCell ref="B89:H89"/>
    <mergeCell ref="B90:H90"/>
    <mergeCell ref="B91:H91"/>
    <mergeCell ref="B92:H92"/>
    <mergeCell ref="A93:H93"/>
    <mergeCell ref="A94:J94"/>
    <mergeCell ref="A95:J95"/>
    <mergeCell ref="A96:J96"/>
    <mergeCell ref="A97:J97"/>
    <mergeCell ref="B98:I98"/>
    <mergeCell ref="B99:I99"/>
    <mergeCell ref="B100:H100"/>
    <mergeCell ref="B101:H101"/>
    <mergeCell ref="B102:H102"/>
    <mergeCell ref="B103:I103"/>
    <mergeCell ref="B104:H104"/>
    <mergeCell ref="B128:I128"/>
    <mergeCell ref="B129:I129"/>
    <mergeCell ref="B130:I130"/>
    <mergeCell ref="A131:I131"/>
    <mergeCell ref="A132:J132"/>
    <mergeCell ref="A133:J133"/>
    <mergeCell ref="A134:J134"/>
    <mergeCell ref="A135:I135"/>
    <mergeCell ref="A136:J136"/>
    <mergeCell ref="H53:J53"/>
    <mergeCell ref="B78:I78"/>
    <mergeCell ref="A79:I79"/>
    <mergeCell ref="A80:J80"/>
    <mergeCell ref="A81:J81"/>
    <mergeCell ref="A82:J82"/>
    <mergeCell ref="A83:J83"/>
    <mergeCell ref="B84:H84"/>
    <mergeCell ref="B127:I127"/>
    <mergeCell ref="B105:H105"/>
    <mergeCell ref="B106:H106"/>
    <mergeCell ref="B107:I107"/>
    <mergeCell ref="B108:I108"/>
    <mergeCell ref="B109:I109"/>
    <mergeCell ref="B110:I110"/>
    <mergeCell ref="B111:I111"/>
    <mergeCell ref="A112:I112"/>
    <mergeCell ref="A113:J113"/>
    <mergeCell ref="A114:J114"/>
    <mergeCell ref="A115:J115"/>
    <mergeCell ref="A116:J116"/>
    <mergeCell ref="B117:I117"/>
    <mergeCell ref="B118:I118"/>
    <mergeCell ref="B119:I119"/>
    <mergeCell ref="A45:J45"/>
    <mergeCell ref="A46:J46"/>
    <mergeCell ref="A47:J47"/>
    <mergeCell ref="A48:J48"/>
    <mergeCell ref="A49:J49"/>
    <mergeCell ref="A50:J50"/>
    <mergeCell ref="B51:G51"/>
    <mergeCell ref="H51:J51"/>
    <mergeCell ref="B52:G52"/>
    <mergeCell ref="H52:J52"/>
    <mergeCell ref="A71:J71"/>
    <mergeCell ref="A72:J72"/>
    <mergeCell ref="A73:J73"/>
    <mergeCell ref="B74:I74"/>
    <mergeCell ref="B75:I75"/>
    <mergeCell ref="B76:I76"/>
    <mergeCell ref="A77:I77"/>
    <mergeCell ref="A24:G24"/>
    <mergeCell ref="H24:I24"/>
    <mergeCell ref="A25:G25"/>
    <mergeCell ref="H25:I25"/>
    <mergeCell ref="A26:G26"/>
    <mergeCell ref="H26:I26"/>
    <mergeCell ref="H27:I27"/>
    <mergeCell ref="A27:G27"/>
    <mergeCell ref="A28:I28"/>
    <mergeCell ref="A29:J29"/>
    <mergeCell ref="A30:G30"/>
    <mergeCell ref="H30:I30"/>
    <mergeCell ref="A31:G31"/>
    <mergeCell ref="H31:I31"/>
    <mergeCell ref="A32:G32"/>
    <mergeCell ref="H32:I32"/>
    <mergeCell ref="A33:I33"/>
    <mergeCell ref="B62:I62"/>
    <mergeCell ref="B63:H63"/>
    <mergeCell ref="B64:I64"/>
    <mergeCell ref="B65:I65"/>
    <mergeCell ref="B66:I66"/>
    <mergeCell ref="B67:I67"/>
    <mergeCell ref="A68:I68"/>
    <mergeCell ref="A69:J69"/>
    <mergeCell ref="A70:J70"/>
    <mergeCell ref="B55:G55"/>
    <mergeCell ref="H55:J55"/>
    <mergeCell ref="A56:J56"/>
    <mergeCell ref="A57:J57"/>
    <mergeCell ref="A58:J58"/>
    <mergeCell ref="A59:J59"/>
    <mergeCell ref="B60:G60"/>
    <mergeCell ref="H60:I60"/>
    <mergeCell ref="B61:I61"/>
    <mergeCell ref="A20:H20"/>
    <mergeCell ref="I20:J20"/>
    <mergeCell ref="A21:J21"/>
    <mergeCell ref="A22:G22"/>
    <mergeCell ref="H22:I22"/>
    <mergeCell ref="A23:G23"/>
    <mergeCell ref="H23:I23"/>
    <mergeCell ref="B53:G53"/>
    <mergeCell ref="B54:G54"/>
    <mergeCell ref="H54:J54"/>
    <mergeCell ref="A34:J34"/>
    <mergeCell ref="A35:G35"/>
    <mergeCell ref="H35:I35"/>
    <mergeCell ref="A36:I36"/>
    <mergeCell ref="A37:J37"/>
    <mergeCell ref="A38:G38"/>
    <mergeCell ref="H38:I38"/>
    <mergeCell ref="A39:I39"/>
    <mergeCell ref="A40:J40"/>
    <mergeCell ref="A41:G41"/>
    <mergeCell ref="H41:I41"/>
    <mergeCell ref="A42:I42"/>
    <mergeCell ref="A43:J43"/>
    <mergeCell ref="A44:I44"/>
    <mergeCell ref="G16:H16"/>
    <mergeCell ref="I16:J16"/>
    <mergeCell ref="A14:F14"/>
    <mergeCell ref="G14:H14"/>
    <mergeCell ref="I14:J14"/>
    <mergeCell ref="A15:F15"/>
    <mergeCell ref="G15:H15"/>
    <mergeCell ref="I15:J15"/>
    <mergeCell ref="A16:F16"/>
    <mergeCell ref="B8:G8"/>
    <mergeCell ref="H8:J8"/>
    <mergeCell ref="B9:G9"/>
    <mergeCell ref="H9:J9"/>
    <mergeCell ref="G13:H13"/>
    <mergeCell ref="I13:J13"/>
    <mergeCell ref="B10:G10"/>
    <mergeCell ref="H10:J10"/>
    <mergeCell ref="A11:J11"/>
    <mergeCell ref="A12:F12"/>
    <mergeCell ref="G12:H12"/>
    <mergeCell ref="I12:J12"/>
    <mergeCell ref="A13:F13"/>
    <mergeCell ref="A1:J1"/>
    <mergeCell ref="A2:J2"/>
    <mergeCell ref="A3:G3"/>
    <mergeCell ref="H3:J3"/>
    <mergeCell ref="A4:G4"/>
    <mergeCell ref="H4:J4"/>
    <mergeCell ref="H5:J5"/>
    <mergeCell ref="A6:J6"/>
    <mergeCell ref="B7:G7"/>
    <mergeCell ref="H7:J7"/>
    <mergeCell ref="G19:H19"/>
    <mergeCell ref="I19:J19"/>
    <mergeCell ref="A17:F17"/>
    <mergeCell ref="G17:H17"/>
    <mergeCell ref="I17:J17"/>
    <mergeCell ref="A18:F18"/>
    <mergeCell ref="G18:H18"/>
    <mergeCell ref="I18:J18"/>
    <mergeCell ref="A19:F19"/>
  </mergeCells>
  <printOptions horizontalCentered="1"/>
  <pageMargins left="0.39305555555555599" right="0.39305555555555599" top="0.39305555555555599" bottom="0.39305555555555599" header="0" footer="0"/>
  <pageSetup paperSize="9" orientation="portrait"/>
  <rowBreaks count="7" manualBreakCount="7">
    <brk id="131" man="1"/>
    <brk id="164" man="1"/>
    <brk id="293" man="1"/>
    <brk id="263" man="1"/>
    <brk id="215" man="1"/>
    <brk id="58" man="1"/>
    <brk id="3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Z1000"/>
  <sheetViews>
    <sheetView showGridLines="0" workbookViewId="0">
      <selection sqref="A1:J1"/>
    </sheetView>
  </sheetViews>
  <sheetFormatPr defaultColWidth="12.625" defaultRowHeight="15" customHeight="1" x14ac:dyDescent="0.2"/>
  <cols>
    <col min="1" max="1" width="13.375" customWidth="1"/>
    <col min="2" max="2" width="9.75" customWidth="1"/>
    <col min="3" max="3" width="11.625" customWidth="1"/>
    <col min="4" max="4" width="8.875" customWidth="1"/>
    <col min="5" max="5" width="10.875" customWidth="1"/>
    <col min="6" max="6" width="9.875" customWidth="1"/>
    <col min="7" max="7" width="8.625" customWidth="1"/>
    <col min="8" max="8" width="11.75" customWidth="1"/>
    <col min="9" max="9" width="12.75" customWidth="1"/>
    <col min="10" max="10" width="10.125" customWidth="1"/>
    <col min="11" max="11" width="9.75" hidden="1" customWidth="1"/>
    <col min="12" max="12" width="6.5" hidden="1" customWidth="1"/>
    <col min="13" max="13" width="5.75" hidden="1" customWidth="1"/>
    <col min="14" max="14" width="8" hidden="1" customWidth="1"/>
    <col min="15" max="15" width="8.125" hidden="1" customWidth="1"/>
    <col min="16" max="16" width="8" hidden="1" customWidth="1"/>
    <col min="17" max="26" width="8" customWidth="1"/>
  </cols>
  <sheetData>
    <row r="1" spans="1:26" ht="24" customHeight="1" x14ac:dyDescent="0.2">
      <c r="A1" s="356" t="s">
        <v>272</v>
      </c>
      <c r="B1" s="318"/>
      <c r="C1" s="318"/>
      <c r="D1" s="318"/>
      <c r="E1" s="318"/>
      <c r="F1" s="318"/>
      <c r="G1" s="318"/>
      <c r="H1" s="318"/>
      <c r="I1" s="318"/>
      <c r="J1" s="31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68.25" customHeight="1" x14ac:dyDescent="0.2">
      <c r="A2" s="357" t="s">
        <v>569</v>
      </c>
      <c r="B2" s="318"/>
      <c r="C2" s="318"/>
      <c r="D2" s="318"/>
      <c r="E2" s="318"/>
      <c r="F2" s="318"/>
      <c r="G2" s="318"/>
      <c r="H2" s="318"/>
      <c r="I2" s="318"/>
      <c r="J2" s="316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25" customHeight="1" x14ac:dyDescent="0.2">
      <c r="A3" s="358" t="s">
        <v>274</v>
      </c>
      <c r="B3" s="318"/>
      <c r="C3" s="318"/>
      <c r="D3" s="318"/>
      <c r="E3" s="318"/>
      <c r="F3" s="318"/>
      <c r="G3" s="316"/>
      <c r="H3" s="359" t="str">
        <f>'Aba Carregamento'!B11</f>
        <v>23368.000267/2021-76</v>
      </c>
      <c r="I3" s="318"/>
      <c r="J3" s="316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25" customHeight="1" x14ac:dyDescent="0.2">
      <c r="A4" s="358" t="s">
        <v>275</v>
      </c>
      <c r="B4" s="318"/>
      <c r="C4" s="318"/>
      <c r="D4" s="318"/>
      <c r="E4" s="318"/>
      <c r="F4" s="318"/>
      <c r="G4" s="316"/>
      <c r="H4" s="360" t="str">
        <f>'Aba Carregamento'!B12</f>
        <v>17/2021</v>
      </c>
      <c r="I4" s="318"/>
      <c r="J4" s="31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25" customHeight="1" x14ac:dyDescent="0.2">
      <c r="A5" s="136" t="s">
        <v>276</v>
      </c>
      <c r="B5" s="137"/>
      <c r="C5" s="137"/>
      <c r="D5" s="137"/>
      <c r="E5" s="137"/>
      <c r="F5" s="137"/>
      <c r="G5" s="137"/>
      <c r="H5" s="361">
        <f ca="1">NOW()</f>
        <v>44489.18239652778</v>
      </c>
      <c r="I5" s="318"/>
      <c r="J5" s="316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5.75" customHeight="1" x14ac:dyDescent="0.2">
      <c r="A6" s="362" t="s">
        <v>277</v>
      </c>
      <c r="B6" s="318"/>
      <c r="C6" s="318"/>
      <c r="D6" s="318"/>
      <c r="E6" s="318"/>
      <c r="F6" s="318"/>
      <c r="G6" s="318"/>
      <c r="H6" s="318"/>
      <c r="I6" s="318"/>
      <c r="J6" s="316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25" customHeight="1" x14ac:dyDescent="0.2">
      <c r="A7" s="138" t="s">
        <v>278</v>
      </c>
      <c r="B7" s="358" t="s">
        <v>279</v>
      </c>
      <c r="C7" s="318"/>
      <c r="D7" s="318"/>
      <c r="E7" s="318"/>
      <c r="F7" s="318"/>
      <c r="G7" s="316"/>
      <c r="H7" s="363">
        <f ca="1">TODAY()</f>
        <v>44489</v>
      </c>
      <c r="I7" s="318"/>
      <c r="J7" s="316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25" customHeight="1" x14ac:dyDescent="0.2">
      <c r="A8" s="138" t="s">
        <v>280</v>
      </c>
      <c r="B8" s="358" t="s">
        <v>281</v>
      </c>
      <c r="C8" s="318"/>
      <c r="D8" s="318"/>
      <c r="E8" s="318"/>
      <c r="F8" s="318"/>
      <c r="G8" s="316"/>
      <c r="H8" s="360" t="str">
        <f>'Aba Carregamento'!B13</f>
        <v>Porto Alegre/ RS</v>
      </c>
      <c r="I8" s="318"/>
      <c r="J8" s="316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25" customHeight="1" x14ac:dyDescent="0.2">
      <c r="A9" s="138" t="s">
        <v>282</v>
      </c>
      <c r="B9" s="358" t="s">
        <v>283</v>
      </c>
      <c r="C9" s="318"/>
      <c r="D9" s="318"/>
      <c r="E9" s="318"/>
      <c r="F9" s="318"/>
      <c r="G9" s="316"/>
      <c r="H9" s="363" t="str">
        <f>'Aba Carregamento'!B71</f>
        <v>RS 000051/2021</v>
      </c>
      <c r="I9" s="318"/>
      <c r="J9" s="316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25" customHeight="1" x14ac:dyDescent="0.2">
      <c r="A10" s="138" t="s">
        <v>284</v>
      </c>
      <c r="B10" s="358" t="s">
        <v>285</v>
      </c>
      <c r="C10" s="318"/>
      <c r="D10" s="318"/>
      <c r="E10" s="318"/>
      <c r="F10" s="318"/>
      <c r="G10" s="316"/>
      <c r="H10" s="359">
        <v>20</v>
      </c>
      <c r="I10" s="318"/>
      <c r="J10" s="316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5.75" customHeight="1" x14ac:dyDescent="0.2">
      <c r="A11" s="364" t="s">
        <v>286</v>
      </c>
      <c r="B11" s="318"/>
      <c r="C11" s="318"/>
      <c r="D11" s="318"/>
      <c r="E11" s="318"/>
      <c r="F11" s="318"/>
      <c r="G11" s="318"/>
      <c r="H11" s="318"/>
      <c r="I11" s="318"/>
      <c r="J11" s="31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51" customHeight="1" x14ac:dyDescent="0.2">
      <c r="A12" s="365" t="s">
        <v>287</v>
      </c>
      <c r="B12" s="318"/>
      <c r="C12" s="318"/>
      <c r="D12" s="318"/>
      <c r="E12" s="318"/>
      <c r="F12" s="316"/>
      <c r="G12" s="365" t="s">
        <v>288</v>
      </c>
      <c r="H12" s="316"/>
      <c r="I12" s="365" t="s">
        <v>289</v>
      </c>
      <c r="J12" s="31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25" customHeight="1" x14ac:dyDescent="0.2">
      <c r="A13" s="353" t="s">
        <v>290</v>
      </c>
      <c r="B13" s="318"/>
      <c r="C13" s="318"/>
      <c r="D13" s="318"/>
      <c r="E13" s="318"/>
      <c r="F13" s="316"/>
      <c r="G13" s="354" t="s">
        <v>291</v>
      </c>
      <c r="H13" s="316"/>
      <c r="I13" s="352">
        <f>'Aba Carregamento'!E45</f>
        <v>0</v>
      </c>
      <c r="J13" s="31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25" customHeight="1" x14ac:dyDescent="0.2">
      <c r="A14" s="353" t="s">
        <v>292</v>
      </c>
      <c r="B14" s="318"/>
      <c r="C14" s="318"/>
      <c r="D14" s="318"/>
      <c r="E14" s="318"/>
      <c r="F14" s="316"/>
      <c r="G14" s="354" t="s">
        <v>291</v>
      </c>
      <c r="H14" s="316"/>
      <c r="I14" s="352">
        <f>'Aba Carregamento'!E46</f>
        <v>0</v>
      </c>
      <c r="J14" s="316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25" customHeight="1" x14ac:dyDescent="0.2">
      <c r="A15" s="353" t="s">
        <v>293</v>
      </c>
      <c r="B15" s="318"/>
      <c r="C15" s="318"/>
      <c r="D15" s="318"/>
      <c r="E15" s="318"/>
      <c r="F15" s="316"/>
      <c r="G15" s="354" t="s">
        <v>291</v>
      </c>
      <c r="H15" s="316"/>
      <c r="I15" s="352">
        <f>'Aba Carregamento'!E47</f>
        <v>0</v>
      </c>
      <c r="J15" s="31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25" customHeight="1" x14ac:dyDescent="0.2">
      <c r="A16" s="353" t="s">
        <v>294</v>
      </c>
      <c r="B16" s="318"/>
      <c r="C16" s="318"/>
      <c r="D16" s="318"/>
      <c r="E16" s="318"/>
      <c r="F16" s="316"/>
      <c r="G16" s="354" t="s">
        <v>291</v>
      </c>
      <c r="H16" s="316"/>
      <c r="I16" s="352">
        <f>'Aba Carregamento'!E48</f>
        <v>0</v>
      </c>
      <c r="J16" s="316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25" customHeight="1" x14ac:dyDescent="0.2">
      <c r="A17" s="353" t="s">
        <v>295</v>
      </c>
      <c r="B17" s="318"/>
      <c r="C17" s="318"/>
      <c r="D17" s="318"/>
      <c r="E17" s="318"/>
      <c r="F17" s="316"/>
      <c r="G17" s="354" t="s">
        <v>291</v>
      </c>
      <c r="H17" s="316"/>
      <c r="I17" s="352">
        <f>'Aba Carregamento'!E49</f>
        <v>0</v>
      </c>
      <c r="J17" s="316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25" customHeight="1" x14ac:dyDescent="0.2">
      <c r="A18" s="353" t="s">
        <v>296</v>
      </c>
      <c r="B18" s="318"/>
      <c r="C18" s="318"/>
      <c r="D18" s="318"/>
      <c r="E18" s="318"/>
      <c r="F18" s="316"/>
      <c r="G18" s="354" t="s">
        <v>291</v>
      </c>
      <c r="H18" s="316"/>
      <c r="I18" s="352">
        <f>'Aba Carregamento'!E50</f>
        <v>0</v>
      </c>
      <c r="J18" s="316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25" customHeight="1" x14ac:dyDescent="0.2">
      <c r="A19" s="355" t="s">
        <v>297</v>
      </c>
      <c r="B19" s="318"/>
      <c r="C19" s="318"/>
      <c r="D19" s="318"/>
      <c r="E19" s="318"/>
      <c r="F19" s="316"/>
      <c r="G19" s="351" t="s">
        <v>291</v>
      </c>
      <c r="H19" s="316"/>
      <c r="I19" s="352">
        <f>'Aba Carregamento'!E51</f>
        <v>739.35</v>
      </c>
      <c r="J19" s="316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25" customHeight="1" x14ac:dyDescent="0.2">
      <c r="A20" s="366" t="s">
        <v>298</v>
      </c>
      <c r="B20" s="318"/>
      <c r="C20" s="318"/>
      <c r="D20" s="318"/>
      <c r="E20" s="318"/>
      <c r="F20" s="318"/>
      <c r="G20" s="318"/>
      <c r="H20" s="316"/>
      <c r="I20" s="367">
        <f>ROUND(SUM(I13:J19),2)</f>
        <v>739.35</v>
      </c>
      <c r="J20" s="316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2.75" customHeight="1" x14ac:dyDescent="0.2">
      <c r="A21" s="368"/>
      <c r="B21" s="318"/>
      <c r="C21" s="318"/>
      <c r="D21" s="318"/>
      <c r="E21" s="318"/>
      <c r="F21" s="318"/>
      <c r="G21" s="318"/>
      <c r="H21" s="318"/>
      <c r="I21" s="318"/>
      <c r="J21" s="316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25" customHeight="1" x14ac:dyDescent="0.2">
      <c r="A22" s="353" t="s">
        <v>299</v>
      </c>
      <c r="B22" s="318"/>
      <c r="C22" s="318"/>
      <c r="D22" s="318"/>
      <c r="E22" s="318"/>
      <c r="F22" s="318"/>
      <c r="G22" s="316"/>
      <c r="H22" s="354" t="s">
        <v>291</v>
      </c>
      <c r="I22" s="316"/>
      <c r="J22" s="139">
        <f>'Aba Carregamento'!E52</f>
        <v>0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25" customHeight="1" x14ac:dyDescent="0.2">
      <c r="A23" s="353" t="s">
        <v>300</v>
      </c>
      <c r="B23" s="318"/>
      <c r="C23" s="318"/>
      <c r="D23" s="318"/>
      <c r="E23" s="318"/>
      <c r="F23" s="318"/>
      <c r="G23" s="316"/>
      <c r="H23" s="369" t="s">
        <v>291</v>
      </c>
      <c r="I23" s="316"/>
      <c r="J23" s="139">
        <f>'Aba Carregamento'!E53</f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25" customHeight="1" x14ac:dyDescent="0.2">
      <c r="A24" s="353" t="s">
        <v>301</v>
      </c>
      <c r="B24" s="318"/>
      <c r="C24" s="318"/>
      <c r="D24" s="318"/>
      <c r="E24" s="318"/>
      <c r="F24" s="318"/>
      <c r="G24" s="316"/>
      <c r="H24" s="354" t="s">
        <v>291</v>
      </c>
      <c r="I24" s="316"/>
      <c r="J24" s="139">
        <f>'Aba Carregamento'!E54</f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25" customHeight="1" x14ac:dyDescent="0.2">
      <c r="A25" s="353" t="s">
        <v>302</v>
      </c>
      <c r="B25" s="318"/>
      <c r="C25" s="318"/>
      <c r="D25" s="318"/>
      <c r="E25" s="318"/>
      <c r="F25" s="318"/>
      <c r="G25" s="316"/>
      <c r="H25" s="369" t="s">
        <v>291</v>
      </c>
      <c r="I25" s="316"/>
      <c r="J25" s="139">
        <f>'Aba Carregamento'!E55</f>
        <v>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25" customHeight="1" x14ac:dyDescent="0.2">
      <c r="A26" s="353" t="s">
        <v>303</v>
      </c>
      <c r="B26" s="318"/>
      <c r="C26" s="318"/>
      <c r="D26" s="318"/>
      <c r="E26" s="318"/>
      <c r="F26" s="318"/>
      <c r="G26" s="316"/>
      <c r="H26" s="369" t="s">
        <v>291</v>
      </c>
      <c r="I26" s="316"/>
      <c r="J26" s="139">
        <f>'Aba Carregamento'!E56</f>
        <v>0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4.25" customHeight="1" x14ac:dyDescent="0.2">
      <c r="A27" s="353" t="s">
        <v>304</v>
      </c>
      <c r="B27" s="318"/>
      <c r="C27" s="318"/>
      <c r="D27" s="318"/>
      <c r="E27" s="318"/>
      <c r="F27" s="318"/>
      <c r="G27" s="316"/>
      <c r="H27" s="354" t="s">
        <v>291</v>
      </c>
      <c r="I27" s="316"/>
      <c r="J27" s="139">
        <f>'Aba Carregamento'!E57</f>
        <v>0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4.25" customHeight="1" x14ac:dyDescent="0.2">
      <c r="A28" s="366" t="s">
        <v>305</v>
      </c>
      <c r="B28" s="318"/>
      <c r="C28" s="318"/>
      <c r="D28" s="318"/>
      <c r="E28" s="318"/>
      <c r="F28" s="318"/>
      <c r="G28" s="318"/>
      <c r="H28" s="318"/>
      <c r="I28" s="316"/>
      <c r="J28" s="140">
        <f>ROUND(SUM(J22:J27),2)</f>
        <v>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 customHeight="1" x14ac:dyDescent="0.2">
      <c r="A29" s="368"/>
      <c r="B29" s="318"/>
      <c r="C29" s="318"/>
      <c r="D29" s="318"/>
      <c r="E29" s="318"/>
      <c r="F29" s="318"/>
      <c r="G29" s="318"/>
      <c r="H29" s="318"/>
      <c r="I29" s="318"/>
      <c r="J29" s="31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4.25" customHeight="1" x14ac:dyDescent="0.2">
      <c r="A30" s="353" t="s">
        <v>306</v>
      </c>
      <c r="B30" s="318"/>
      <c r="C30" s="318"/>
      <c r="D30" s="318"/>
      <c r="E30" s="318"/>
      <c r="F30" s="318"/>
      <c r="G30" s="316"/>
      <c r="H30" s="354" t="s">
        <v>291</v>
      </c>
      <c r="I30" s="316"/>
      <c r="J30" s="139">
        <f>'Aba Carregamento'!E58</f>
        <v>0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4.25" customHeight="1" x14ac:dyDescent="0.2">
      <c r="A31" s="353" t="s">
        <v>307</v>
      </c>
      <c r="B31" s="318"/>
      <c r="C31" s="318"/>
      <c r="D31" s="318"/>
      <c r="E31" s="318"/>
      <c r="F31" s="318"/>
      <c r="G31" s="316"/>
      <c r="H31" s="354" t="s">
        <v>291</v>
      </c>
      <c r="I31" s="316"/>
      <c r="J31" s="139">
        <f>'Aba Carregamento'!E59</f>
        <v>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25" customHeight="1" x14ac:dyDescent="0.2">
      <c r="A32" s="353" t="s">
        <v>308</v>
      </c>
      <c r="B32" s="318"/>
      <c r="C32" s="318"/>
      <c r="D32" s="318"/>
      <c r="E32" s="318"/>
      <c r="F32" s="318"/>
      <c r="G32" s="316"/>
      <c r="H32" s="354" t="s">
        <v>291</v>
      </c>
      <c r="I32" s="316"/>
      <c r="J32" s="139">
        <f>'Aba Carregamento'!E60</f>
        <v>0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 customHeight="1" x14ac:dyDescent="0.2">
      <c r="A33" s="381" t="s">
        <v>309</v>
      </c>
      <c r="B33" s="318"/>
      <c r="C33" s="318"/>
      <c r="D33" s="318"/>
      <c r="E33" s="318"/>
      <c r="F33" s="318"/>
      <c r="G33" s="318"/>
      <c r="H33" s="318"/>
      <c r="I33" s="316"/>
      <c r="J33" s="140">
        <f>ROUND(SUM(J30:J32),2)</f>
        <v>0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 customHeight="1" x14ac:dyDescent="0.2">
      <c r="A34" s="368"/>
      <c r="B34" s="318"/>
      <c r="C34" s="318"/>
      <c r="D34" s="318"/>
      <c r="E34" s="318"/>
      <c r="F34" s="318"/>
      <c r="G34" s="318"/>
      <c r="H34" s="318"/>
      <c r="I34" s="318"/>
      <c r="J34" s="316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25" customHeight="1" x14ac:dyDescent="0.2">
      <c r="A35" s="382" t="s">
        <v>310</v>
      </c>
      <c r="B35" s="318"/>
      <c r="C35" s="318"/>
      <c r="D35" s="318"/>
      <c r="E35" s="318"/>
      <c r="F35" s="318"/>
      <c r="G35" s="316"/>
      <c r="H35" s="354" t="s">
        <v>291</v>
      </c>
      <c r="I35" s="316"/>
      <c r="J35" s="139">
        <f>'Aba Carregamento'!E61</f>
        <v>0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25" customHeight="1" x14ac:dyDescent="0.2">
      <c r="A36" s="366" t="s">
        <v>311</v>
      </c>
      <c r="B36" s="318"/>
      <c r="C36" s="318"/>
      <c r="D36" s="318"/>
      <c r="E36" s="318"/>
      <c r="F36" s="318"/>
      <c r="G36" s="318"/>
      <c r="H36" s="318"/>
      <c r="I36" s="316"/>
      <c r="J36" s="140">
        <f>J35</f>
        <v>0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 customHeight="1" x14ac:dyDescent="0.2">
      <c r="A37" s="368"/>
      <c r="B37" s="318"/>
      <c r="C37" s="318"/>
      <c r="D37" s="318"/>
      <c r="E37" s="318"/>
      <c r="F37" s="318"/>
      <c r="G37" s="318"/>
      <c r="H37" s="318"/>
      <c r="I37" s="318"/>
      <c r="J37" s="316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 customHeight="1" x14ac:dyDescent="0.2">
      <c r="A38" s="382" t="s">
        <v>312</v>
      </c>
      <c r="B38" s="318"/>
      <c r="C38" s="318"/>
      <c r="D38" s="318"/>
      <c r="E38" s="318"/>
      <c r="F38" s="318"/>
      <c r="G38" s="316"/>
      <c r="H38" s="369" t="s">
        <v>291</v>
      </c>
      <c r="I38" s="316"/>
      <c r="J38" s="139">
        <f>'Aba Carregamento'!E62</f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 x14ac:dyDescent="0.2">
      <c r="A39" s="383" t="s">
        <v>570</v>
      </c>
      <c r="B39" s="318"/>
      <c r="C39" s="318"/>
      <c r="D39" s="318"/>
      <c r="E39" s="318"/>
      <c r="F39" s="318"/>
      <c r="G39" s="318"/>
      <c r="H39" s="318"/>
      <c r="I39" s="316"/>
      <c r="J39" s="140">
        <f>J38</f>
        <v>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 customHeight="1" x14ac:dyDescent="0.2">
      <c r="A40" s="368"/>
      <c r="B40" s="318"/>
      <c r="C40" s="318"/>
      <c r="D40" s="318"/>
      <c r="E40" s="318"/>
      <c r="F40" s="318"/>
      <c r="G40" s="318"/>
      <c r="H40" s="318"/>
      <c r="I40" s="318"/>
      <c r="J40" s="316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 customHeight="1" x14ac:dyDescent="0.2">
      <c r="A41" s="382" t="s">
        <v>314</v>
      </c>
      <c r="B41" s="318"/>
      <c r="C41" s="318"/>
      <c r="D41" s="318"/>
      <c r="E41" s="318"/>
      <c r="F41" s="318"/>
      <c r="G41" s="316"/>
      <c r="H41" s="369" t="s">
        <v>291</v>
      </c>
      <c r="I41" s="316"/>
      <c r="J41" s="139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 customHeight="1" x14ac:dyDescent="0.2">
      <c r="A42" s="381" t="s">
        <v>315</v>
      </c>
      <c r="B42" s="318"/>
      <c r="C42" s="318"/>
      <c r="D42" s="318"/>
      <c r="E42" s="318"/>
      <c r="F42" s="318"/>
      <c r="G42" s="318"/>
      <c r="H42" s="318"/>
      <c r="I42" s="316"/>
      <c r="J42" s="140">
        <f>J41</f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 customHeight="1" x14ac:dyDescent="0.2">
      <c r="A43" s="368"/>
      <c r="B43" s="318"/>
      <c r="C43" s="318"/>
      <c r="D43" s="318"/>
      <c r="E43" s="318"/>
      <c r="F43" s="318"/>
      <c r="G43" s="318"/>
      <c r="H43" s="318"/>
      <c r="I43" s="318"/>
      <c r="J43" s="316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25" customHeight="1" x14ac:dyDescent="0.2">
      <c r="A44" s="384" t="s">
        <v>316</v>
      </c>
      <c r="B44" s="318"/>
      <c r="C44" s="318"/>
      <c r="D44" s="318"/>
      <c r="E44" s="318"/>
      <c r="F44" s="318"/>
      <c r="G44" s="318"/>
      <c r="H44" s="318"/>
      <c r="I44" s="316"/>
      <c r="J44" s="141">
        <f>ROUND(I20+J28+J33+J36+J39+J42,2)</f>
        <v>739.35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 customHeight="1" x14ac:dyDescent="0.2">
      <c r="A45" s="368"/>
      <c r="B45" s="318"/>
      <c r="C45" s="318"/>
      <c r="D45" s="318"/>
      <c r="E45" s="318"/>
      <c r="F45" s="318"/>
      <c r="G45" s="318"/>
      <c r="H45" s="318"/>
      <c r="I45" s="318"/>
      <c r="J45" s="316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48" customHeight="1" x14ac:dyDescent="0.2">
      <c r="A46" s="385" t="s">
        <v>317</v>
      </c>
      <c r="B46" s="318"/>
      <c r="C46" s="318"/>
      <c r="D46" s="318"/>
      <c r="E46" s="318"/>
      <c r="F46" s="318"/>
      <c r="G46" s="318"/>
      <c r="H46" s="318"/>
      <c r="I46" s="318"/>
      <c r="J46" s="31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 customHeight="1" x14ac:dyDescent="0.2">
      <c r="A47" s="368"/>
      <c r="B47" s="318"/>
      <c r="C47" s="318"/>
      <c r="D47" s="318"/>
      <c r="E47" s="318"/>
      <c r="F47" s="318"/>
      <c r="G47" s="318"/>
      <c r="H47" s="318"/>
      <c r="I47" s="318"/>
      <c r="J47" s="316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48.75" customHeight="1" x14ac:dyDescent="0.2">
      <c r="A48" s="372" t="s">
        <v>571</v>
      </c>
      <c r="B48" s="318"/>
      <c r="C48" s="318"/>
      <c r="D48" s="318"/>
      <c r="E48" s="318"/>
      <c r="F48" s="318"/>
      <c r="G48" s="318"/>
      <c r="H48" s="318"/>
      <c r="I48" s="318"/>
      <c r="J48" s="316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 customHeight="1" x14ac:dyDescent="0.2">
      <c r="A49" s="368"/>
      <c r="B49" s="318"/>
      <c r="C49" s="318"/>
      <c r="D49" s="318"/>
      <c r="E49" s="318"/>
      <c r="F49" s="318"/>
      <c r="G49" s="318"/>
      <c r="H49" s="318"/>
      <c r="I49" s="318"/>
      <c r="J49" s="316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 x14ac:dyDescent="0.2">
      <c r="A50" s="373" t="s">
        <v>319</v>
      </c>
      <c r="B50" s="318"/>
      <c r="C50" s="318"/>
      <c r="D50" s="318"/>
      <c r="E50" s="318"/>
      <c r="F50" s="318"/>
      <c r="G50" s="318"/>
      <c r="H50" s="318"/>
      <c r="I50" s="318"/>
      <c r="J50" s="316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 x14ac:dyDescent="0.2">
      <c r="A51" s="138">
        <v>1</v>
      </c>
      <c r="B51" s="358" t="s">
        <v>320</v>
      </c>
      <c r="C51" s="318"/>
      <c r="D51" s="318"/>
      <c r="E51" s="318"/>
      <c r="F51" s="318"/>
      <c r="G51" s="316"/>
      <c r="H51" s="370" t="s">
        <v>321</v>
      </c>
      <c r="I51" s="318"/>
      <c r="J51" s="316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 x14ac:dyDescent="0.2">
      <c r="A52" s="138">
        <v>2</v>
      </c>
      <c r="B52" s="358" t="s">
        <v>322</v>
      </c>
      <c r="C52" s="318"/>
      <c r="D52" s="318"/>
      <c r="E52" s="318"/>
      <c r="F52" s="318"/>
      <c r="G52" s="316"/>
      <c r="H52" s="370">
        <v>5143</v>
      </c>
      <c r="I52" s="318"/>
      <c r="J52" s="316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 x14ac:dyDescent="0.2">
      <c r="A53" s="138">
        <v>3</v>
      </c>
      <c r="B53" s="358" t="s">
        <v>323</v>
      </c>
      <c r="C53" s="318"/>
      <c r="D53" s="318"/>
      <c r="E53" s="318"/>
      <c r="F53" s="318"/>
      <c r="G53" s="316"/>
      <c r="H53" s="386">
        <f>'Aba Carregamento'!B73</f>
        <v>0</v>
      </c>
      <c r="I53" s="318"/>
      <c r="J53" s="316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 x14ac:dyDescent="0.2">
      <c r="A54" s="138">
        <v>4</v>
      </c>
      <c r="B54" s="358" t="s">
        <v>324</v>
      </c>
      <c r="C54" s="318"/>
      <c r="D54" s="318"/>
      <c r="E54" s="318"/>
      <c r="F54" s="318"/>
      <c r="G54" s="316"/>
      <c r="H54" s="370" t="s">
        <v>325</v>
      </c>
      <c r="I54" s="318"/>
      <c r="J54" s="316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 x14ac:dyDescent="0.2">
      <c r="A55" s="138">
        <v>5</v>
      </c>
      <c r="B55" s="358" t="s">
        <v>326</v>
      </c>
      <c r="C55" s="318"/>
      <c r="D55" s="318"/>
      <c r="E55" s="318"/>
      <c r="F55" s="318"/>
      <c r="G55" s="316"/>
      <c r="H55" s="371">
        <f>'Aba Carregamento'!B72</f>
        <v>44197</v>
      </c>
      <c r="I55" s="318"/>
      <c r="J55" s="316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 customHeight="1" x14ac:dyDescent="0.2">
      <c r="A56" s="368"/>
      <c r="B56" s="318"/>
      <c r="C56" s="318"/>
      <c r="D56" s="318"/>
      <c r="E56" s="318"/>
      <c r="F56" s="318"/>
      <c r="G56" s="318"/>
      <c r="H56" s="318"/>
      <c r="I56" s="318"/>
      <c r="J56" s="316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27" customHeight="1" x14ac:dyDescent="0.2">
      <c r="A57" s="353" t="s">
        <v>327</v>
      </c>
      <c r="B57" s="318"/>
      <c r="C57" s="318"/>
      <c r="D57" s="318"/>
      <c r="E57" s="318"/>
      <c r="F57" s="318"/>
      <c r="G57" s="318"/>
      <c r="H57" s="318"/>
      <c r="I57" s="318"/>
      <c r="J57" s="316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x14ac:dyDescent="0.2">
      <c r="A58" s="368"/>
      <c r="B58" s="318"/>
      <c r="C58" s="318"/>
      <c r="D58" s="318"/>
      <c r="E58" s="318"/>
      <c r="F58" s="318"/>
      <c r="G58" s="318"/>
      <c r="H58" s="318"/>
      <c r="I58" s="318"/>
      <c r="J58" s="316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20.25" customHeight="1" x14ac:dyDescent="0.2">
      <c r="A59" s="372" t="s">
        <v>328</v>
      </c>
      <c r="B59" s="318"/>
      <c r="C59" s="318"/>
      <c r="D59" s="318"/>
      <c r="E59" s="318"/>
      <c r="F59" s="318"/>
      <c r="G59" s="318"/>
      <c r="H59" s="318"/>
      <c r="I59" s="318"/>
      <c r="J59" s="316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30" customHeight="1" x14ac:dyDescent="0.2">
      <c r="A60" s="142">
        <v>1</v>
      </c>
      <c r="B60" s="373" t="s">
        <v>329</v>
      </c>
      <c r="C60" s="318"/>
      <c r="D60" s="318"/>
      <c r="E60" s="318"/>
      <c r="F60" s="318"/>
      <c r="G60" s="316"/>
      <c r="H60" s="373" t="s">
        <v>330</v>
      </c>
      <c r="I60" s="316"/>
      <c r="J60" s="142" t="s">
        <v>331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27" customHeight="1" x14ac:dyDescent="0.2">
      <c r="A61" s="138" t="s">
        <v>278</v>
      </c>
      <c r="B61" s="358" t="s">
        <v>572</v>
      </c>
      <c r="C61" s="318"/>
      <c r="D61" s="318"/>
      <c r="E61" s="318"/>
      <c r="F61" s="318"/>
      <c r="G61" s="318"/>
      <c r="H61" s="318"/>
      <c r="I61" s="316"/>
      <c r="J61" s="143">
        <f>H53/220*'Aba Carregamento'!B79</f>
        <v>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4.25" customHeight="1" x14ac:dyDescent="0.2">
      <c r="A62" s="138" t="s">
        <v>280</v>
      </c>
      <c r="B62" s="358" t="s">
        <v>333</v>
      </c>
      <c r="C62" s="318"/>
      <c r="D62" s="318"/>
      <c r="E62" s="318"/>
      <c r="F62" s="318"/>
      <c r="G62" s="318"/>
      <c r="H62" s="318"/>
      <c r="I62" s="316"/>
      <c r="J62" s="14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4.25" customHeight="1" x14ac:dyDescent="0.2">
      <c r="A63" s="138" t="s">
        <v>282</v>
      </c>
      <c r="B63" s="358" t="s">
        <v>573</v>
      </c>
      <c r="C63" s="318"/>
      <c r="D63" s="318"/>
      <c r="E63" s="318"/>
      <c r="F63" s="318"/>
      <c r="G63" s="318"/>
      <c r="H63" s="316"/>
      <c r="I63" s="144">
        <v>0.4</v>
      </c>
      <c r="J63" s="143">
        <f>ROUND(I63*J61,2)</f>
        <v>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4.25" customHeight="1" x14ac:dyDescent="0.2">
      <c r="A64" s="138" t="s">
        <v>284</v>
      </c>
      <c r="B64" s="358" t="s">
        <v>574</v>
      </c>
      <c r="C64" s="318"/>
      <c r="D64" s="318"/>
      <c r="E64" s="318"/>
      <c r="F64" s="318"/>
      <c r="G64" s="318"/>
      <c r="H64" s="318"/>
      <c r="I64" s="316"/>
      <c r="J64" s="143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4.25" customHeight="1" x14ac:dyDescent="0.2">
      <c r="A65" s="138" t="s">
        <v>336</v>
      </c>
      <c r="B65" s="358" t="s">
        <v>337</v>
      </c>
      <c r="C65" s="318"/>
      <c r="D65" s="318"/>
      <c r="E65" s="318"/>
      <c r="F65" s="318"/>
      <c r="G65" s="318"/>
      <c r="H65" s="318"/>
      <c r="I65" s="316"/>
      <c r="J65" s="145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4.25" customHeight="1" x14ac:dyDescent="0.2">
      <c r="A66" s="138" t="s">
        <v>338</v>
      </c>
      <c r="B66" s="358" t="s">
        <v>339</v>
      </c>
      <c r="C66" s="318"/>
      <c r="D66" s="318"/>
      <c r="E66" s="318"/>
      <c r="F66" s="318"/>
      <c r="G66" s="318"/>
      <c r="H66" s="318"/>
      <c r="I66" s="316"/>
      <c r="J66" s="145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4.25" customHeight="1" x14ac:dyDescent="0.2">
      <c r="A67" s="138" t="s">
        <v>340</v>
      </c>
      <c r="B67" s="358" t="s">
        <v>341</v>
      </c>
      <c r="C67" s="318"/>
      <c r="D67" s="318"/>
      <c r="E67" s="318"/>
      <c r="F67" s="318"/>
      <c r="G67" s="318"/>
      <c r="H67" s="318"/>
      <c r="I67" s="316"/>
      <c r="J67" s="143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 x14ac:dyDescent="0.2">
      <c r="A68" s="374" t="s">
        <v>342</v>
      </c>
      <c r="B68" s="318"/>
      <c r="C68" s="318"/>
      <c r="D68" s="318"/>
      <c r="E68" s="318"/>
      <c r="F68" s="318"/>
      <c r="G68" s="318"/>
      <c r="H68" s="318"/>
      <c r="I68" s="316"/>
      <c r="J68" s="146">
        <f>SUM(J61:J67)</f>
        <v>0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 customHeight="1" x14ac:dyDescent="0.2">
      <c r="A69" s="368"/>
      <c r="B69" s="318"/>
      <c r="C69" s="318"/>
      <c r="D69" s="318"/>
      <c r="E69" s="318"/>
      <c r="F69" s="318"/>
      <c r="G69" s="318"/>
      <c r="H69" s="318"/>
      <c r="I69" s="318"/>
      <c r="J69" s="316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39" customHeight="1" x14ac:dyDescent="0.2">
      <c r="A70" s="375" t="s">
        <v>343</v>
      </c>
      <c r="B70" s="318"/>
      <c r="C70" s="318"/>
      <c r="D70" s="318"/>
      <c r="E70" s="318"/>
      <c r="F70" s="318"/>
      <c r="G70" s="318"/>
      <c r="H70" s="318"/>
      <c r="I70" s="318"/>
      <c r="J70" s="316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 customHeight="1" x14ac:dyDescent="0.2">
      <c r="A71" s="368"/>
      <c r="B71" s="318"/>
      <c r="C71" s="318"/>
      <c r="D71" s="318"/>
      <c r="E71" s="318"/>
      <c r="F71" s="318"/>
      <c r="G71" s="318"/>
      <c r="H71" s="318"/>
      <c r="I71" s="318"/>
      <c r="J71" s="316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 x14ac:dyDescent="0.2">
      <c r="A72" s="376" t="s">
        <v>344</v>
      </c>
      <c r="B72" s="318"/>
      <c r="C72" s="318"/>
      <c r="D72" s="318"/>
      <c r="E72" s="318"/>
      <c r="F72" s="318"/>
      <c r="G72" s="318"/>
      <c r="H72" s="318"/>
      <c r="I72" s="318"/>
      <c r="J72" s="316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 customHeight="1" x14ac:dyDescent="0.2">
      <c r="A73" s="377" t="s">
        <v>575</v>
      </c>
      <c r="B73" s="318"/>
      <c r="C73" s="318"/>
      <c r="D73" s="318"/>
      <c r="E73" s="318"/>
      <c r="F73" s="318"/>
      <c r="G73" s="318"/>
      <c r="H73" s="318"/>
      <c r="I73" s="318"/>
      <c r="J73" s="316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 customHeight="1" x14ac:dyDescent="0.2">
      <c r="A74" s="147" t="s">
        <v>346</v>
      </c>
      <c r="B74" s="378" t="s">
        <v>347</v>
      </c>
      <c r="C74" s="318"/>
      <c r="D74" s="318"/>
      <c r="E74" s="318"/>
      <c r="F74" s="318"/>
      <c r="G74" s="318"/>
      <c r="H74" s="318"/>
      <c r="I74" s="316"/>
      <c r="J74" s="148" t="s">
        <v>348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 customHeight="1" x14ac:dyDescent="0.2">
      <c r="A75" s="149" t="s">
        <v>278</v>
      </c>
      <c r="B75" s="379" t="s">
        <v>576</v>
      </c>
      <c r="C75" s="318"/>
      <c r="D75" s="318"/>
      <c r="E75" s="318"/>
      <c r="F75" s="318"/>
      <c r="G75" s="318"/>
      <c r="H75" s="318"/>
      <c r="I75" s="316"/>
      <c r="J75" s="150">
        <f>ROUND($J$68/12,2)</f>
        <v>0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 customHeight="1" x14ac:dyDescent="0.2">
      <c r="A76" s="149" t="s">
        <v>280</v>
      </c>
      <c r="B76" s="379" t="s">
        <v>577</v>
      </c>
      <c r="C76" s="318"/>
      <c r="D76" s="318"/>
      <c r="E76" s="318"/>
      <c r="F76" s="318"/>
      <c r="G76" s="318"/>
      <c r="H76" s="318"/>
      <c r="I76" s="316"/>
      <c r="J76" s="150">
        <f>ROUND(($J$68/3)/12,2)</f>
        <v>0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 customHeight="1" x14ac:dyDescent="0.2">
      <c r="A77" s="380" t="s">
        <v>351</v>
      </c>
      <c r="B77" s="318"/>
      <c r="C77" s="318"/>
      <c r="D77" s="318"/>
      <c r="E77" s="318"/>
      <c r="F77" s="318"/>
      <c r="G77" s="318"/>
      <c r="H77" s="318"/>
      <c r="I77" s="316"/>
      <c r="J77" s="150">
        <f>SUM(J75+J76)</f>
        <v>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 customHeight="1" x14ac:dyDescent="0.2">
      <c r="A78" s="151"/>
      <c r="B78" s="379"/>
      <c r="C78" s="318"/>
      <c r="D78" s="318"/>
      <c r="E78" s="318"/>
      <c r="F78" s="318"/>
      <c r="G78" s="318"/>
      <c r="H78" s="318"/>
      <c r="I78" s="316"/>
      <c r="J78" s="152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 customHeight="1" x14ac:dyDescent="0.2">
      <c r="A79" s="387" t="s">
        <v>351</v>
      </c>
      <c r="B79" s="318"/>
      <c r="C79" s="318"/>
      <c r="D79" s="318"/>
      <c r="E79" s="318"/>
      <c r="F79" s="318"/>
      <c r="G79" s="318"/>
      <c r="H79" s="318"/>
      <c r="I79" s="316"/>
      <c r="J79" s="153">
        <f>J77+J78</f>
        <v>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 customHeight="1" x14ac:dyDescent="0.2">
      <c r="A80" s="368"/>
      <c r="B80" s="318"/>
      <c r="C80" s="318"/>
      <c r="D80" s="318"/>
      <c r="E80" s="318"/>
      <c r="F80" s="318"/>
      <c r="G80" s="318"/>
      <c r="H80" s="318"/>
      <c r="I80" s="318"/>
      <c r="J80" s="316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48" customHeight="1" x14ac:dyDescent="0.2">
      <c r="A81" s="385" t="s">
        <v>352</v>
      </c>
      <c r="B81" s="318"/>
      <c r="C81" s="318"/>
      <c r="D81" s="318"/>
      <c r="E81" s="318"/>
      <c r="F81" s="318"/>
      <c r="G81" s="318"/>
      <c r="H81" s="318"/>
      <c r="I81" s="318"/>
      <c r="J81" s="316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 customHeight="1" x14ac:dyDescent="0.2">
      <c r="A82" s="368"/>
      <c r="B82" s="318"/>
      <c r="C82" s="318"/>
      <c r="D82" s="318"/>
      <c r="E82" s="318"/>
      <c r="F82" s="318"/>
      <c r="G82" s="318"/>
      <c r="H82" s="318"/>
      <c r="I82" s="318"/>
      <c r="J82" s="316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30" customHeight="1" x14ac:dyDescent="0.2">
      <c r="A83" s="376" t="s">
        <v>353</v>
      </c>
      <c r="B83" s="318"/>
      <c r="C83" s="318"/>
      <c r="D83" s="318"/>
      <c r="E83" s="318"/>
      <c r="F83" s="318"/>
      <c r="G83" s="318"/>
      <c r="H83" s="318"/>
      <c r="I83" s="318"/>
      <c r="J83" s="316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 customHeight="1" x14ac:dyDescent="0.2">
      <c r="A84" s="154" t="s">
        <v>354</v>
      </c>
      <c r="B84" s="388" t="s">
        <v>355</v>
      </c>
      <c r="C84" s="318"/>
      <c r="D84" s="318"/>
      <c r="E84" s="318"/>
      <c r="F84" s="318"/>
      <c r="G84" s="318"/>
      <c r="H84" s="316"/>
      <c r="I84" s="142" t="s">
        <v>356</v>
      </c>
      <c r="J84" s="142" t="s">
        <v>357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 customHeight="1" x14ac:dyDescent="0.2">
      <c r="A85" s="149" t="s">
        <v>278</v>
      </c>
      <c r="B85" s="379" t="s">
        <v>358</v>
      </c>
      <c r="C85" s="318"/>
      <c r="D85" s="318"/>
      <c r="E85" s="318"/>
      <c r="F85" s="318"/>
      <c r="G85" s="318"/>
      <c r="H85" s="316"/>
      <c r="I85" s="155">
        <v>0.2</v>
      </c>
      <c r="J85" s="156">
        <f t="shared" ref="J85:J92" si="0">ROUND($J$68*I85,2)</f>
        <v>0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 customHeight="1" x14ac:dyDescent="0.2">
      <c r="A86" s="149" t="s">
        <v>280</v>
      </c>
      <c r="B86" s="379" t="s">
        <v>359</v>
      </c>
      <c r="C86" s="318"/>
      <c r="D86" s="318"/>
      <c r="E86" s="318"/>
      <c r="F86" s="318"/>
      <c r="G86" s="318"/>
      <c r="H86" s="316"/>
      <c r="I86" s="155">
        <v>0</v>
      </c>
      <c r="J86" s="156">
        <f t="shared" si="0"/>
        <v>0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46.5" customHeight="1" x14ac:dyDescent="0.2">
      <c r="A87" s="149" t="s">
        <v>282</v>
      </c>
      <c r="B87" s="358" t="s">
        <v>578</v>
      </c>
      <c r="C87" s="318"/>
      <c r="D87" s="316"/>
      <c r="E87" s="157" t="s">
        <v>361</v>
      </c>
      <c r="F87" s="234">
        <f>'Aba Carregamento'!B85</f>
        <v>0</v>
      </c>
      <c r="G87" s="157" t="s">
        <v>362</v>
      </c>
      <c r="H87" s="159">
        <f>'Aba Carregamento'!B86</f>
        <v>0</v>
      </c>
      <c r="I87" s="160">
        <f>ROUND((F87*H87),6)</f>
        <v>0</v>
      </c>
      <c r="J87" s="156">
        <f t="shared" si="0"/>
        <v>0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 customHeight="1" x14ac:dyDescent="0.2">
      <c r="A88" s="149" t="s">
        <v>284</v>
      </c>
      <c r="B88" s="379" t="s">
        <v>363</v>
      </c>
      <c r="C88" s="318"/>
      <c r="D88" s="318"/>
      <c r="E88" s="318"/>
      <c r="F88" s="318"/>
      <c r="G88" s="318"/>
      <c r="H88" s="316"/>
      <c r="I88" s="155">
        <v>0</v>
      </c>
      <c r="J88" s="156">
        <f t="shared" si="0"/>
        <v>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 customHeight="1" x14ac:dyDescent="0.2">
      <c r="A89" s="149" t="s">
        <v>336</v>
      </c>
      <c r="B89" s="379" t="s">
        <v>364</v>
      </c>
      <c r="C89" s="318"/>
      <c r="D89" s="318"/>
      <c r="E89" s="318"/>
      <c r="F89" s="318"/>
      <c r="G89" s="318"/>
      <c r="H89" s="316"/>
      <c r="I89" s="155">
        <v>0</v>
      </c>
      <c r="J89" s="156">
        <f t="shared" si="0"/>
        <v>0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 customHeight="1" x14ac:dyDescent="0.2">
      <c r="A90" s="149" t="s">
        <v>338</v>
      </c>
      <c r="B90" s="379" t="s">
        <v>365</v>
      </c>
      <c r="C90" s="318"/>
      <c r="D90" s="318"/>
      <c r="E90" s="318"/>
      <c r="F90" s="318"/>
      <c r="G90" s="318"/>
      <c r="H90" s="316"/>
      <c r="I90" s="155">
        <v>0</v>
      </c>
      <c r="J90" s="156">
        <f t="shared" si="0"/>
        <v>0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 customHeight="1" x14ac:dyDescent="0.2">
      <c r="A91" s="149" t="s">
        <v>340</v>
      </c>
      <c r="B91" s="379" t="s">
        <v>366</v>
      </c>
      <c r="C91" s="318"/>
      <c r="D91" s="318"/>
      <c r="E91" s="318"/>
      <c r="F91" s="318"/>
      <c r="G91" s="318"/>
      <c r="H91" s="316"/>
      <c r="I91" s="155">
        <v>0</v>
      </c>
      <c r="J91" s="156">
        <f t="shared" si="0"/>
        <v>0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 customHeight="1" x14ac:dyDescent="0.2">
      <c r="A92" s="149" t="s">
        <v>367</v>
      </c>
      <c r="B92" s="379" t="s">
        <v>368</v>
      </c>
      <c r="C92" s="318"/>
      <c r="D92" s="318"/>
      <c r="E92" s="318"/>
      <c r="F92" s="318"/>
      <c r="G92" s="318"/>
      <c r="H92" s="316"/>
      <c r="I92" s="155">
        <v>0.08</v>
      </c>
      <c r="J92" s="156">
        <f t="shared" si="0"/>
        <v>0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 customHeight="1" x14ac:dyDescent="0.2">
      <c r="A93" s="387" t="s">
        <v>351</v>
      </c>
      <c r="B93" s="318"/>
      <c r="C93" s="318"/>
      <c r="D93" s="318"/>
      <c r="E93" s="318"/>
      <c r="F93" s="318"/>
      <c r="G93" s="318"/>
      <c r="H93" s="316"/>
      <c r="I93" s="161">
        <f t="shared" ref="I93:J93" si="1">SUM(I85:I92)</f>
        <v>0.28000000000000003</v>
      </c>
      <c r="J93" s="153">
        <f t="shared" si="1"/>
        <v>0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 customHeight="1" x14ac:dyDescent="0.2">
      <c r="A94" s="368"/>
      <c r="B94" s="318"/>
      <c r="C94" s="318"/>
      <c r="D94" s="318"/>
      <c r="E94" s="318"/>
      <c r="F94" s="318"/>
      <c r="G94" s="318"/>
      <c r="H94" s="318"/>
      <c r="I94" s="318"/>
      <c r="J94" s="316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36.75" customHeight="1" x14ac:dyDescent="0.2">
      <c r="A95" s="385" t="s">
        <v>579</v>
      </c>
      <c r="B95" s="318"/>
      <c r="C95" s="318"/>
      <c r="D95" s="318"/>
      <c r="E95" s="318"/>
      <c r="F95" s="318"/>
      <c r="G95" s="318"/>
      <c r="H95" s="318"/>
      <c r="I95" s="318"/>
      <c r="J95" s="316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 customHeight="1" x14ac:dyDescent="0.2">
      <c r="A96" s="368"/>
      <c r="B96" s="318"/>
      <c r="C96" s="318"/>
      <c r="D96" s="318"/>
      <c r="E96" s="318"/>
      <c r="F96" s="318"/>
      <c r="G96" s="318"/>
      <c r="H96" s="318"/>
      <c r="I96" s="318"/>
      <c r="J96" s="316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 x14ac:dyDescent="0.2">
      <c r="A97" s="376" t="s">
        <v>370</v>
      </c>
      <c r="B97" s="318"/>
      <c r="C97" s="318"/>
      <c r="D97" s="318"/>
      <c r="E97" s="318"/>
      <c r="F97" s="318"/>
      <c r="G97" s="318"/>
      <c r="H97" s="318"/>
      <c r="I97" s="318"/>
      <c r="J97" s="316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 customHeight="1" x14ac:dyDescent="0.2">
      <c r="A98" s="154" t="s">
        <v>371</v>
      </c>
      <c r="B98" s="388" t="s">
        <v>372</v>
      </c>
      <c r="C98" s="318"/>
      <c r="D98" s="318"/>
      <c r="E98" s="318"/>
      <c r="F98" s="318"/>
      <c r="G98" s="318"/>
      <c r="H98" s="318"/>
      <c r="I98" s="316"/>
      <c r="J98" s="142" t="s">
        <v>348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 x14ac:dyDescent="0.2">
      <c r="A99" s="149" t="s">
        <v>278</v>
      </c>
      <c r="B99" s="379" t="s">
        <v>580</v>
      </c>
      <c r="C99" s="318"/>
      <c r="D99" s="318"/>
      <c r="E99" s="318"/>
      <c r="F99" s="318"/>
      <c r="G99" s="318"/>
      <c r="H99" s="318"/>
      <c r="I99" s="316"/>
      <c r="J99" s="156">
        <f>IF(ROUND((I102*I100*I101)-(J61*0.06),2)&lt;0,0,ROUND((I102*I100*I101)-(J61*0.06),2))*1+(I100*I101*21.726-0.06*J61)*0</f>
        <v>0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 customHeight="1" x14ac:dyDescent="0.2">
      <c r="A100" s="149"/>
      <c r="B100" s="392" t="s">
        <v>374</v>
      </c>
      <c r="C100" s="318"/>
      <c r="D100" s="318"/>
      <c r="E100" s="318"/>
      <c r="F100" s="318"/>
      <c r="G100" s="318"/>
      <c r="H100" s="316"/>
      <c r="I100" s="162">
        <f>'Aba Carregamento'!B90</f>
        <v>0</v>
      </c>
      <c r="J100" s="163" t="s">
        <v>375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 customHeight="1" x14ac:dyDescent="0.2">
      <c r="A101" s="149"/>
      <c r="B101" s="392" t="s">
        <v>376</v>
      </c>
      <c r="C101" s="318"/>
      <c r="D101" s="318"/>
      <c r="E101" s="318"/>
      <c r="F101" s="318"/>
      <c r="G101" s="318"/>
      <c r="H101" s="316"/>
      <c r="I101" s="164">
        <f>'Aba Carregamento'!B91</f>
        <v>0</v>
      </c>
      <c r="J101" s="163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 customHeight="1" x14ac:dyDescent="0.2">
      <c r="A102" s="149"/>
      <c r="B102" s="392" t="s">
        <v>377</v>
      </c>
      <c r="C102" s="318"/>
      <c r="D102" s="318"/>
      <c r="E102" s="318"/>
      <c r="F102" s="318"/>
      <c r="G102" s="318"/>
      <c r="H102" s="316"/>
      <c r="I102" s="165">
        <f>'Aba Carregamento'!B92</f>
        <v>0</v>
      </c>
      <c r="J102" s="163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 customHeight="1" x14ac:dyDescent="0.2">
      <c r="A103" s="149" t="s">
        <v>280</v>
      </c>
      <c r="B103" s="379" t="s">
        <v>581</v>
      </c>
      <c r="C103" s="318"/>
      <c r="D103" s="318"/>
      <c r="E103" s="318"/>
      <c r="F103" s="318"/>
      <c r="G103" s="318"/>
      <c r="H103" s="318"/>
      <c r="I103" s="316"/>
      <c r="J103" s="156">
        <f>ROUND(I105*I104*(1-I106),2)*1+ROUND(21.726*6*(1-I106),2)*0</f>
        <v>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2.75" customHeight="1" x14ac:dyDescent="0.2">
      <c r="A104" s="149"/>
      <c r="B104" s="392" t="s">
        <v>379</v>
      </c>
      <c r="C104" s="318"/>
      <c r="D104" s="318"/>
      <c r="E104" s="318"/>
      <c r="F104" s="318"/>
      <c r="G104" s="318"/>
      <c r="H104" s="316"/>
      <c r="I104" s="162">
        <f>'Aba Carregamento'!B87</f>
        <v>0</v>
      </c>
      <c r="J104" s="163" t="s">
        <v>375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 customHeight="1" x14ac:dyDescent="0.2">
      <c r="A105" s="166"/>
      <c r="B105" s="392" t="s">
        <v>380</v>
      </c>
      <c r="C105" s="318"/>
      <c r="D105" s="318"/>
      <c r="E105" s="318"/>
      <c r="F105" s="318"/>
      <c r="G105" s="318"/>
      <c r="H105" s="316"/>
      <c r="I105" s="165">
        <f>'Aba Carregamento'!B89</f>
        <v>0</v>
      </c>
      <c r="J105" s="163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 customHeight="1" x14ac:dyDescent="0.2">
      <c r="A106" s="166"/>
      <c r="B106" s="392" t="s">
        <v>381</v>
      </c>
      <c r="C106" s="318"/>
      <c r="D106" s="318"/>
      <c r="E106" s="318"/>
      <c r="F106" s="318"/>
      <c r="G106" s="318"/>
      <c r="H106" s="316"/>
      <c r="I106" s="167">
        <f>'Aba Carregamento'!B88</f>
        <v>0</v>
      </c>
      <c r="J106" s="163"/>
      <c r="K106" s="61"/>
      <c r="L106" s="61"/>
      <c r="M106" s="61"/>
      <c r="N106" s="61"/>
      <c r="O106" s="61"/>
      <c r="P106" s="61"/>
      <c r="Q106" s="168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 customHeight="1" x14ac:dyDescent="0.2">
      <c r="A107" s="149" t="s">
        <v>282</v>
      </c>
      <c r="B107" s="379" t="s">
        <v>382</v>
      </c>
      <c r="C107" s="318"/>
      <c r="D107" s="318"/>
      <c r="E107" s="318"/>
      <c r="F107" s="318"/>
      <c r="G107" s="318"/>
      <c r="H107" s="318"/>
      <c r="I107" s="316"/>
      <c r="J107" s="156">
        <v>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 customHeight="1" x14ac:dyDescent="0.2">
      <c r="A108" s="149" t="s">
        <v>284</v>
      </c>
      <c r="B108" s="379" t="s">
        <v>582</v>
      </c>
      <c r="C108" s="318"/>
      <c r="D108" s="318"/>
      <c r="E108" s="318"/>
      <c r="F108" s="318"/>
      <c r="G108" s="318"/>
      <c r="H108" s="318"/>
      <c r="I108" s="316"/>
      <c r="J108" s="169">
        <v>0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27" customHeight="1" x14ac:dyDescent="0.2">
      <c r="A109" s="149" t="s">
        <v>284</v>
      </c>
      <c r="B109" s="358" t="s">
        <v>583</v>
      </c>
      <c r="C109" s="318"/>
      <c r="D109" s="318"/>
      <c r="E109" s="318"/>
      <c r="F109" s="318"/>
      <c r="G109" s="318"/>
      <c r="H109" s="318"/>
      <c r="I109" s="316"/>
      <c r="J109" s="156">
        <v>0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27" customHeight="1" x14ac:dyDescent="0.2">
      <c r="A110" s="149" t="s">
        <v>336</v>
      </c>
      <c r="B110" s="358" t="s">
        <v>584</v>
      </c>
      <c r="C110" s="318"/>
      <c r="D110" s="318"/>
      <c r="E110" s="318"/>
      <c r="F110" s="318"/>
      <c r="G110" s="318"/>
      <c r="H110" s="318"/>
      <c r="I110" s="316"/>
      <c r="J110" s="170">
        <f>'Aba Carregamento'!B93</f>
        <v>0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 customHeight="1" x14ac:dyDescent="0.2">
      <c r="A111" s="149" t="s">
        <v>338</v>
      </c>
      <c r="B111" s="379" t="s">
        <v>386</v>
      </c>
      <c r="C111" s="318"/>
      <c r="D111" s="318"/>
      <c r="E111" s="318"/>
      <c r="F111" s="318"/>
      <c r="G111" s="318"/>
      <c r="H111" s="318"/>
      <c r="I111" s="316"/>
      <c r="J111" s="171" t="s">
        <v>375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 customHeight="1" x14ac:dyDescent="0.2">
      <c r="A112" s="387" t="s">
        <v>342</v>
      </c>
      <c r="B112" s="318"/>
      <c r="C112" s="318"/>
      <c r="D112" s="318"/>
      <c r="E112" s="318"/>
      <c r="F112" s="318"/>
      <c r="G112" s="318"/>
      <c r="H112" s="318"/>
      <c r="I112" s="316"/>
      <c r="J112" s="153">
        <f>SUM(J99:J110)</f>
        <v>0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 customHeight="1" x14ac:dyDescent="0.2">
      <c r="A113" s="368"/>
      <c r="B113" s="318"/>
      <c r="C113" s="318"/>
      <c r="D113" s="318"/>
      <c r="E113" s="318"/>
      <c r="F113" s="318"/>
      <c r="G113" s="318"/>
      <c r="H113" s="318"/>
      <c r="I113" s="318"/>
      <c r="J113" s="316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36.75" customHeight="1" x14ac:dyDescent="0.2">
      <c r="A114" s="385" t="s">
        <v>387</v>
      </c>
      <c r="B114" s="318"/>
      <c r="C114" s="318"/>
      <c r="D114" s="318"/>
      <c r="E114" s="318"/>
      <c r="F114" s="318"/>
      <c r="G114" s="318"/>
      <c r="H114" s="318"/>
      <c r="I114" s="318"/>
      <c r="J114" s="316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 customHeight="1" x14ac:dyDescent="0.2">
      <c r="A115" s="368"/>
      <c r="B115" s="318"/>
      <c r="C115" s="318"/>
      <c r="D115" s="318"/>
      <c r="E115" s="318"/>
      <c r="F115" s="318"/>
      <c r="G115" s="318"/>
      <c r="H115" s="318"/>
      <c r="I115" s="318"/>
      <c r="J115" s="316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 x14ac:dyDescent="0.2">
      <c r="A116" s="376" t="s">
        <v>388</v>
      </c>
      <c r="B116" s="318"/>
      <c r="C116" s="318"/>
      <c r="D116" s="318"/>
      <c r="E116" s="318"/>
      <c r="F116" s="318"/>
      <c r="G116" s="318"/>
      <c r="H116" s="318"/>
      <c r="I116" s="318"/>
      <c r="J116" s="316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 x14ac:dyDescent="0.2">
      <c r="A117" s="142">
        <v>2</v>
      </c>
      <c r="B117" s="373" t="s">
        <v>389</v>
      </c>
      <c r="C117" s="318"/>
      <c r="D117" s="318"/>
      <c r="E117" s="318"/>
      <c r="F117" s="318"/>
      <c r="G117" s="318"/>
      <c r="H117" s="318"/>
      <c r="I117" s="316"/>
      <c r="J117" s="142" t="s">
        <v>348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4.25" customHeight="1" x14ac:dyDescent="0.2">
      <c r="A118" s="138" t="s">
        <v>346</v>
      </c>
      <c r="B118" s="358" t="s">
        <v>390</v>
      </c>
      <c r="C118" s="318"/>
      <c r="D118" s="318"/>
      <c r="E118" s="318"/>
      <c r="F118" s="318"/>
      <c r="G118" s="318"/>
      <c r="H118" s="318"/>
      <c r="I118" s="316"/>
      <c r="J118" s="172">
        <f>J79</f>
        <v>0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4.25" customHeight="1" x14ac:dyDescent="0.2">
      <c r="A119" s="138" t="s">
        <v>354</v>
      </c>
      <c r="B119" s="358" t="s">
        <v>355</v>
      </c>
      <c r="C119" s="318"/>
      <c r="D119" s="318"/>
      <c r="E119" s="318"/>
      <c r="F119" s="318"/>
      <c r="G119" s="318"/>
      <c r="H119" s="318"/>
      <c r="I119" s="316"/>
      <c r="J119" s="172">
        <f>J93</f>
        <v>0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4.25" customHeight="1" x14ac:dyDescent="0.2">
      <c r="A120" s="138" t="s">
        <v>371</v>
      </c>
      <c r="B120" s="358" t="s">
        <v>372</v>
      </c>
      <c r="C120" s="318"/>
      <c r="D120" s="318"/>
      <c r="E120" s="318"/>
      <c r="F120" s="318"/>
      <c r="G120" s="318"/>
      <c r="H120" s="318"/>
      <c r="I120" s="316"/>
      <c r="J120" s="172">
        <f>J112</f>
        <v>0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4.25" customHeight="1" x14ac:dyDescent="0.2">
      <c r="A121" s="374" t="s">
        <v>351</v>
      </c>
      <c r="B121" s="318"/>
      <c r="C121" s="318"/>
      <c r="D121" s="318"/>
      <c r="E121" s="318"/>
      <c r="F121" s="318"/>
      <c r="G121" s="318"/>
      <c r="H121" s="318"/>
      <c r="I121" s="316"/>
      <c r="J121" s="173">
        <f>SUM(J118+J119+J120)</f>
        <v>0</v>
      </c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 customHeight="1" x14ac:dyDescent="0.2">
      <c r="A122" s="368"/>
      <c r="B122" s="318"/>
      <c r="C122" s="318"/>
      <c r="D122" s="318"/>
      <c r="E122" s="318"/>
      <c r="F122" s="318"/>
      <c r="G122" s="318"/>
      <c r="H122" s="318"/>
      <c r="I122" s="318"/>
      <c r="J122" s="316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 x14ac:dyDescent="0.2">
      <c r="A123" s="376" t="s">
        <v>391</v>
      </c>
      <c r="B123" s="318"/>
      <c r="C123" s="318"/>
      <c r="D123" s="318"/>
      <c r="E123" s="318"/>
      <c r="F123" s="318"/>
      <c r="G123" s="318"/>
      <c r="H123" s="318"/>
      <c r="I123" s="318"/>
      <c r="J123" s="316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 customHeight="1" x14ac:dyDescent="0.2">
      <c r="A124" s="154">
        <v>3</v>
      </c>
      <c r="B124" s="388" t="s">
        <v>392</v>
      </c>
      <c r="C124" s="318"/>
      <c r="D124" s="318"/>
      <c r="E124" s="318"/>
      <c r="F124" s="318"/>
      <c r="G124" s="318"/>
      <c r="H124" s="318"/>
      <c r="I124" s="316"/>
      <c r="J124" s="154" t="s">
        <v>393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46.5" customHeight="1" x14ac:dyDescent="0.2">
      <c r="A125" s="149" t="s">
        <v>278</v>
      </c>
      <c r="B125" s="358" t="s">
        <v>585</v>
      </c>
      <c r="C125" s="318"/>
      <c r="D125" s="318"/>
      <c r="E125" s="318"/>
      <c r="F125" s="318"/>
      <c r="G125" s="318"/>
      <c r="H125" s="318"/>
      <c r="I125" s="316"/>
      <c r="J125" s="156">
        <f>ROUND((($J$68/12)+($J$75/12)+($J$68/12/12)+($J$76/12))*(30/30)*0.05,2)</f>
        <v>0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4.25" customHeight="1" x14ac:dyDescent="0.2">
      <c r="A126" s="149" t="s">
        <v>280</v>
      </c>
      <c r="B126" s="358" t="s">
        <v>395</v>
      </c>
      <c r="C126" s="318"/>
      <c r="D126" s="318"/>
      <c r="E126" s="318"/>
      <c r="F126" s="318"/>
      <c r="G126" s="318"/>
      <c r="H126" s="318"/>
      <c r="I126" s="316"/>
      <c r="J126" s="156">
        <f>ROUND($J$125*I92,2)</f>
        <v>0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27" customHeight="1" x14ac:dyDescent="0.2">
      <c r="A127" s="149" t="s">
        <v>282</v>
      </c>
      <c r="B127" s="358" t="s">
        <v>586</v>
      </c>
      <c r="C127" s="318"/>
      <c r="D127" s="318"/>
      <c r="E127" s="318"/>
      <c r="F127" s="318"/>
      <c r="G127" s="318"/>
      <c r="H127" s="318"/>
      <c r="I127" s="316"/>
      <c r="J127" s="156">
        <f>ROUND(0.08*0.4*($J$68+$J$75+$J$76+J138)*0.05,2)</f>
        <v>0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27" customHeight="1" x14ac:dyDescent="0.2">
      <c r="A128" s="149" t="s">
        <v>284</v>
      </c>
      <c r="B128" s="358" t="s">
        <v>587</v>
      </c>
      <c r="C128" s="318"/>
      <c r="D128" s="318"/>
      <c r="E128" s="318"/>
      <c r="F128" s="318"/>
      <c r="G128" s="318"/>
      <c r="H128" s="318"/>
      <c r="I128" s="316"/>
      <c r="J128" s="156">
        <f>ROUND(((($J$68/30)*7)/$H$10)*1,2)</f>
        <v>0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4.25" customHeight="1" x14ac:dyDescent="0.2">
      <c r="A129" s="149" t="s">
        <v>336</v>
      </c>
      <c r="B129" s="358" t="s">
        <v>398</v>
      </c>
      <c r="C129" s="318"/>
      <c r="D129" s="318"/>
      <c r="E129" s="318"/>
      <c r="F129" s="318"/>
      <c r="G129" s="318"/>
      <c r="H129" s="318"/>
      <c r="I129" s="316"/>
      <c r="J129" s="156">
        <f>ROUND($I$93*J128,2)</f>
        <v>0</v>
      </c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27" customHeight="1" x14ac:dyDescent="0.2">
      <c r="A130" s="149" t="s">
        <v>338</v>
      </c>
      <c r="B130" s="358" t="s">
        <v>588</v>
      </c>
      <c r="C130" s="318"/>
      <c r="D130" s="318"/>
      <c r="E130" s="318"/>
      <c r="F130" s="318"/>
      <c r="G130" s="318"/>
      <c r="H130" s="318"/>
      <c r="I130" s="316"/>
      <c r="J130" s="156">
        <f>ROUND(0.08*0.4*($J$68+$J$75+$J$76+J138)*1,2)</f>
        <v>0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 customHeight="1" x14ac:dyDescent="0.2">
      <c r="A131" s="387" t="s">
        <v>351</v>
      </c>
      <c r="B131" s="318"/>
      <c r="C131" s="318"/>
      <c r="D131" s="318"/>
      <c r="E131" s="318"/>
      <c r="F131" s="318"/>
      <c r="G131" s="318"/>
      <c r="H131" s="318"/>
      <c r="I131" s="316"/>
      <c r="J131" s="153">
        <f>SUM(J125:J130)</f>
        <v>0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42.75" customHeight="1" x14ac:dyDescent="0.2">
      <c r="A132" s="445" t="s">
        <v>400</v>
      </c>
      <c r="B132" s="318"/>
      <c r="C132" s="318"/>
      <c r="D132" s="318"/>
      <c r="E132" s="318"/>
      <c r="F132" s="318"/>
      <c r="G132" s="318"/>
      <c r="H132" s="318"/>
      <c r="I132" s="318"/>
      <c r="J132" s="316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 x14ac:dyDescent="0.2">
      <c r="A133" s="376" t="s">
        <v>401</v>
      </c>
      <c r="B133" s="318"/>
      <c r="C133" s="318"/>
      <c r="D133" s="318"/>
      <c r="E133" s="318"/>
      <c r="F133" s="318"/>
      <c r="G133" s="318"/>
      <c r="H133" s="318"/>
      <c r="I133" s="318"/>
      <c r="J133" s="316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36.75" customHeight="1" x14ac:dyDescent="0.2">
      <c r="A134" s="385" t="s">
        <v>402</v>
      </c>
      <c r="B134" s="318"/>
      <c r="C134" s="318"/>
      <c r="D134" s="318"/>
      <c r="E134" s="318"/>
      <c r="F134" s="318"/>
      <c r="G134" s="318"/>
      <c r="H134" s="318"/>
      <c r="I134" s="318"/>
      <c r="J134" s="316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42" customHeight="1" x14ac:dyDescent="0.2">
      <c r="A135" s="391" t="s">
        <v>589</v>
      </c>
      <c r="B135" s="318"/>
      <c r="C135" s="318"/>
      <c r="D135" s="318"/>
      <c r="E135" s="318"/>
      <c r="F135" s="318"/>
      <c r="G135" s="318"/>
      <c r="H135" s="318"/>
      <c r="I135" s="316"/>
      <c r="J135" s="174">
        <f>ROUND(J68/12,2)+J68+J75+J76</f>
        <v>0</v>
      </c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 x14ac:dyDescent="0.2">
      <c r="A136" s="376" t="s">
        <v>404</v>
      </c>
      <c r="B136" s="318"/>
      <c r="C136" s="318"/>
      <c r="D136" s="318"/>
      <c r="E136" s="318"/>
      <c r="F136" s="318"/>
      <c r="G136" s="318"/>
      <c r="H136" s="318"/>
      <c r="I136" s="318"/>
      <c r="J136" s="316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 customHeight="1" x14ac:dyDescent="0.25">
      <c r="A137" s="175" t="s">
        <v>405</v>
      </c>
      <c r="B137" s="388" t="s">
        <v>406</v>
      </c>
      <c r="C137" s="318"/>
      <c r="D137" s="318"/>
      <c r="E137" s="318"/>
      <c r="F137" s="318"/>
      <c r="G137" s="318"/>
      <c r="H137" s="318"/>
      <c r="I137" s="316"/>
      <c r="J137" s="175" t="s">
        <v>348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 customHeight="1" x14ac:dyDescent="0.2">
      <c r="A138" s="151" t="s">
        <v>278</v>
      </c>
      <c r="B138" s="379" t="s">
        <v>590</v>
      </c>
      <c r="C138" s="318"/>
      <c r="D138" s="318"/>
      <c r="E138" s="318"/>
      <c r="F138" s="318"/>
      <c r="G138" s="318"/>
      <c r="H138" s="318"/>
      <c r="I138" s="316"/>
      <c r="J138" s="156"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 customHeight="1" x14ac:dyDescent="0.2">
      <c r="A139" s="151" t="s">
        <v>280</v>
      </c>
      <c r="B139" s="379" t="s">
        <v>591</v>
      </c>
      <c r="C139" s="318"/>
      <c r="D139" s="318"/>
      <c r="E139" s="318"/>
      <c r="F139" s="318"/>
      <c r="G139" s="318"/>
      <c r="H139" s="318"/>
      <c r="I139" s="316"/>
      <c r="J139" s="176">
        <f>ROUND((($J$135/30)*2.96)/12,2)</f>
        <v>0</v>
      </c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 customHeight="1" x14ac:dyDescent="0.2">
      <c r="A140" s="151" t="s">
        <v>282</v>
      </c>
      <c r="B140" s="379" t="s">
        <v>592</v>
      </c>
      <c r="C140" s="318"/>
      <c r="D140" s="318"/>
      <c r="E140" s="318"/>
      <c r="F140" s="318"/>
      <c r="G140" s="318"/>
      <c r="H140" s="318"/>
      <c r="I140" s="316"/>
      <c r="J140" s="176">
        <f>ROUND((($J$135/30)*5)/12*0.015,2)</f>
        <v>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 customHeight="1" x14ac:dyDescent="0.2">
      <c r="A141" s="151" t="s">
        <v>284</v>
      </c>
      <c r="B141" s="379" t="s">
        <v>593</v>
      </c>
      <c r="C141" s="318"/>
      <c r="D141" s="318"/>
      <c r="E141" s="318"/>
      <c r="F141" s="318"/>
      <c r="G141" s="318"/>
      <c r="H141" s="318"/>
      <c r="I141" s="316"/>
      <c r="J141" s="152">
        <f>ROUND(((($J$135/30)*15)/12)*0.0078,2)</f>
        <v>0</v>
      </c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 customHeight="1" x14ac:dyDescent="0.2">
      <c r="A142" s="151" t="s">
        <v>336</v>
      </c>
      <c r="B142" s="379" t="s">
        <v>594</v>
      </c>
      <c r="C142" s="318"/>
      <c r="D142" s="318"/>
      <c r="E142" s="318"/>
      <c r="F142" s="318"/>
      <c r="G142" s="318"/>
      <c r="H142" s="318"/>
      <c r="I142" s="316"/>
      <c r="J142" s="156">
        <f>ROUND(((($J$68+$J$68/3)*4/12)/12)*0.02,2)</f>
        <v>0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 customHeight="1" x14ac:dyDescent="0.2">
      <c r="A143" s="177" t="s">
        <v>338</v>
      </c>
      <c r="B143" s="393" t="s">
        <v>595</v>
      </c>
      <c r="C143" s="318"/>
      <c r="D143" s="318"/>
      <c r="E143" s="318"/>
      <c r="F143" s="318"/>
      <c r="G143" s="318"/>
      <c r="H143" s="318"/>
      <c r="I143" s="316"/>
      <c r="J143" s="152">
        <f>ROUND(((($J$135/30)*5)/12),2)</f>
        <v>0</v>
      </c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 customHeight="1" x14ac:dyDescent="0.2">
      <c r="A144" s="387" t="s">
        <v>351</v>
      </c>
      <c r="B144" s="318"/>
      <c r="C144" s="318"/>
      <c r="D144" s="318"/>
      <c r="E144" s="318"/>
      <c r="F144" s="318"/>
      <c r="G144" s="318"/>
      <c r="H144" s="318"/>
      <c r="I144" s="316"/>
      <c r="J144" s="178">
        <f>SUM(J138:J143)</f>
        <v>0</v>
      </c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 customHeight="1" x14ac:dyDescent="0.2">
      <c r="A145" s="151"/>
      <c r="B145" s="379"/>
      <c r="C145" s="318"/>
      <c r="D145" s="318"/>
      <c r="E145" s="318"/>
      <c r="F145" s="318"/>
      <c r="G145" s="318"/>
      <c r="H145" s="318"/>
      <c r="I145" s="316"/>
      <c r="J145" s="152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 customHeight="1" x14ac:dyDescent="0.2">
      <c r="A146" s="387" t="s">
        <v>351</v>
      </c>
      <c r="B146" s="318"/>
      <c r="C146" s="318"/>
      <c r="D146" s="318"/>
      <c r="E146" s="318"/>
      <c r="F146" s="318"/>
      <c r="G146" s="318"/>
      <c r="H146" s="318"/>
      <c r="I146" s="316"/>
      <c r="J146" s="153">
        <f>SUM(J144:J145)</f>
        <v>0</v>
      </c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63" customHeight="1" x14ac:dyDescent="0.2">
      <c r="A147" s="385" t="s">
        <v>596</v>
      </c>
      <c r="B147" s="318"/>
      <c r="C147" s="318"/>
      <c r="D147" s="318"/>
      <c r="E147" s="318"/>
      <c r="F147" s="318"/>
      <c r="G147" s="318"/>
      <c r="H147" s="318"/>
      <c r="I147" s="318"/>
      <c r="J147" s="316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 customHeight="1" x14ac:dyDescent="0.2">
      <c r="A148" s="383"/>
      <c r="B148" s="318"/>
      <c r="C148" s="318"/>
      <c r="D148" s="318"/>
      <c r="E148" s="318"/>
      <c r="F148" s="318"/>
      <c r="G148" s="318"/>
      <c r="H148" s="318"/>
      <c r="I148" s="318"/>
      <c r="J148" s="316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 x14ac:dyDescent="0.2">
      <c r="A149" s="376" t="s">
        <v>414</v>
      </c>
      <c r="B149" s="318"/>
      <c r="C149" s="318"/>
      <c r="D149" s="318"/>
      <c r="E149" s="318"/>
      <c r="F149" s="318"/>
      <c r="G149" s="318"/>
      <c r="H149" s="318"/>
      <c r="I149" s="318"/>
      <c r="J149" s="316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 customHeight="1" x14ac:dyDescent="0.2">
      <c r="A150" s="154" t="s">
        <v>415</v>
      </c>
      <c r="B150" s="388" t="s">
        <v>416</v>
      </c>
      <c r="C150" s="318"/>
      <c r="D150" s="318"/>
      <c r="E150" s="318"/>
      <c r="F150" s="318"/>
      <c r="G150" s="318"/>
      <c r="H150" s="318"/>
      <c r="I150" s="316"/>
      <c r="J150" s="179" t="s">
        <v>348</v>
      </c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 customHeight="1" x14ac:dyDescent="0.2">
      <c r="A151" s="149" t="s">
        <v>278</v>
      </c>
      <c r="B151" s="379" t="s">
        <v>417</v>
      </c>
      <c r="C151" s="318"/>
      <c r="D151" s="318"/>
      <c r="E151" s="318"/>
      <c r="F151" s="318"/>
      <c r="G151" s="318"/>
      <c r="H151" s="318"/>
      <c r="I151" s="316"/>
      <c r="J151" s="156">
        <v>0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 customHeight="1" x14ac:dyDescent="0.2">
      <c r="A152" s="420" t="s">
        <v>351</v>
      </c>
      <c r="B152" s="318"/>
      <c r="C152" s="318"/>
      <c r="D152" s="318"/>
      <c r="E152" s="318"/>
      <c r="F152" s="318"/>
      <c r="G152" s="318"/>
      <c r="H152" s="318"/>
      <c r="I152" s="316"/>
      <c r="J152" s="156">
        <v>0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 customHeight="1" x14ac:dyDescent="0.2">
      <c r="A153" s="151" t="s">
        <v>280</v>
      </c>
      <c r="B153" s="379" t="s">
        <v>418</v>
      </c>
      <c r="C153" s="318"/>
      <c r="D153" s="318"/>
      <c r="E153" s="318"/>
      <c r="F153" s="318"/>
      <c r="G153" s="318"/>
      <c r="H153" s="318"/>
      <c r="I153" s="316"/>
      <c r="J153" s="152">
        <f>ROUND(I93*J152,2)</f>
        <v>0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 customHeight="1" x14ac:dyDescent="0.2">
      <c r="A154" s="387" t="s">
        <v>351</v>
      </c>
      <c r="B154" s="318"/>
      <c r="C154" s="318"/>
      <c r="D154" s="318"/>
      <c r="E154" s="318"/>
      <c r="F154" s="318"/>
      <c r="G154" s="318"/>
      <c r="H154" s="318"/>
      <c r="I154" s="316"/>
      <c r="J154" s="153">
        <f>SUM(J152:J153)</f>
        <v>0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 customHeight="1" x14ac:dyDescent="0.2">
      <c r="A155" s="383"/>
      <c r="B155" s="318"/>
      <c r="C155" s="318"/>
      <c r="D155" s="318"/>
      <c r="E155" s="318"/>
      <c r="F155" s="318"/>
      <c r="G155" s="318"/>
      <c r="H155" s="318"/>
      <c r="I155" s="318"/>
      <c r="J155" s="316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25.5" customHeight="1" x14ac:dyDescent="0.2">
      <c r="A156" s="385" t="s">
        <v>419</v>
      </c>
      <c r="B156" s="318"/>
      <c r="C156" s="318"/>
      <c r="D156" s="318"/>
      <c r="E156" s="318"/>
      <c r="F156" s="318"/>
      <c r="G156" s="318"/>
      <c r="H156" s="318"/>
      <c r="I156" s="318"/>
      <c r="J156" s="316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 customHeight="1" x14ac:dyDescent="0.2">
      <c r="A157" s="383"/>
      <c r="B157" s="318"/>
      <c r="C157" s="318"/>
      <c r="D157" s="318"/>
      <c r="E157" s="318"/>
      <c r="F157" s="318"/>
      <c r="G157" s="318"/>
      <c r="H157" s="318"/>
      <c r="I157" s="318"/>
      <c r="J157" s="316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 x14ac:dyDescent="0.2">
      <c r="A158" s="376" t="s">
        <v>420</v>
      </c>
      <c r="B158" s="318"/>
      <c r="C158" s="318"/>
      <c r="D158" s="318"/>
      <c r="E158" s="318"/>
      <c r="F158" s="318"/>
      <c r="G158" s="318"/>
      <c r="H158" s="318"/>
      <c r="I158" s="318"/>
      <c r="J158" s="316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 x14ac:dyDescent="0.2">
      <c r="A159" s="142">
        <v>4</v>
      </c>
      <c r="B159" s="373" t="s">
        <v>421</v>
      </c>
      <c r="C159" s="318"/>
      <c r="D159" s="318"/>
      <c r="E159" s="318"/>
      <c r="F159" s="318"/>
      <c r="G159" s="318"/>
      <c r="H159" s="318"/>
      <c r="I159" s="316"/>
      <c r="J159" s="179" t="s">
        <v>348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4.25" customHeight="1" x14ac:dyDescent="0.2">
      <c r="A160" s="138" t="s">
        <v>405</v>
      </c>
      <c r="B160" s="358" t="s">
        <v>406</v>
      </c>
      <c r="C160" s="318"/>
      <c r="D160" s="318"/>
      <c r="E160" s="318"/>
      <c r="F160" s="318"/>
      <c r="G160" s="318"/>
      <c r="H160" s="318"/>
      <c r="I160" s="316"/>
      <c r="J160" s="156">
        <f>J146</f>
        <v>0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4.25" customHeight="1" x14ac:dyDescent="0.2">
      <c r="A161" s="138" t="s">
        <v>422</v>
      </c>
      <c r="B161" s="358" t="s">
        <v>416</v>
      </c>
      <c r="C161" s="318"/>
      <c r="D161" s="318"/>
      <c r="E161" s="318"/>
      <c r="F161" s="318"/>
      <c r="G161" s="318"/>
      <c r="H161" s="318"/>
      <c r="I161" s="316"/>
      <c r="J161" s="156">
        <f>J154</f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4.25" customHeight="1" x14ac:dyDescent="0.2">
      <c r="A162" s="374" t="s">
        <v>351</v>
      </c>
      <c r="B162" s="318"/>
      <c r="C162" s="318"/>
      <c r="D162" s="318"/>
      <c r="E162" s="318"/>
      <c r="F162" s="318"/>
      <c r="G162" s="318"/>
      <c r="H162" s="318"/>
      <c r="I162" s="316"/>
      <c r="J162" s="153">
        <f>SUM(J160+J161)</f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 customHeight="1" x14ac:dyDescent="0.2">
      <c r="A163" s="368"/>
      <c r="B163" s="318"/>
      <c r="C163" s="318"/>
      <c r="D163" s="318"/>
      <c r="E163" s="318"/>
      <c r="F163" s="318"/>
      <c r="G163" s="318"/>
      <c r="H163" s="318"/>
      <c r="I163" s="318"/>
      <c r="J163" s="316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 x14ac:dyDescent="0.2">
      <c r="A164" s="376" t="s">
        <v>423</v>
      </c>
      <c r="B164" s="318"/>
      <c r="C164" s="318"/>
      <c r="D164" s="318"/>
      <c r="E164" s="318"/>
      <c r="F164" s="318"/>
      <c r="G164" s="318"/>
      <c r="H164" s="318"/>
      <c r="I164" s="318"/>
      <c r="J164" s="316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 customHeight="1" x14ac:dyDescent="0.2">
      <c r="A165" s="154">
        <v>5</v>
      </c>
      <c r="B165" s="388" t="s">
        <v>424</v>
      </c>
      <c r="C165" s="318"/>
      <c r="D165" s="318"/>
      <c r="E165" s="318"/>
      <c r="F165" s="318"/>
      <c r="G165" s="318"/>
      <c r="H165" s="318"/>
      <c r="I165" s="316"/>
      <c r="J165" s="154" t="s">
        <v>348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 customHeight="1" x14ac:dyDescent="0.2">
      <c r="A166" s="149" t="s">
        <v>278</v>
      </c>
      <c r="B166" s="379" t="s">
        <v>425</v>
      </c>
      <c r="C166" s="318"/>
      <c r="D166" s="318"/>
      <c r="E166" s="318"/>
      <c r="F166" s="318"/>
      <c r="G166" s="318"/>
      <c r="H166" s="318"/>
      <c r="I166" s="316"/>
      <c r="J166" s="180">
        <f>Insumos!F124</f>
        <v>0</v>
      </c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 customHeight="1" x14ac:dyDescent="0.2">
      <c r="A167" s="149" t="s">
        <v>280</v>
      </c>
      <c r="B167" s="379" t="s">
        <v>426</v>
      </c>
      <c r="C167" s="318"/>
      <c r="D167" s="318"/>
      <c r="E167" s="318"/>
      <c r="F167" s="318"/>
      <c r="G167" s="318"/>
      <c r="H167" s="318"/>
      <c r="I167" s="316"/>
      <c r="J167" s="170" t="e">
        <f>Insumos!F120</f>
        <v>#DIV/0!</v>
      </c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 customHeight="1" x14ac:dyDescent="0.2">
      <c r="A168" s="149" t="s">
        <v>282</v>
      </c>
      <c r="B168" s="379" t="s">
        <v>427</v>
      </c>
      <c r="C168" s="318"/>
      <c r="D168" s="318"/>
      <c r="E168" s="318"/>
      <c r="F168" s="318"/>
      <c r="G168" s="318"/>
      <c r="H168" s="318"/>
      <c r="I168" s="316"/>
      <c r="J168" s="170" t="e">
        <f>Insumos!F122</f>
        <v>#DIV/0!</v>
      </c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 customHeight="1" x14ac:dyDescent="0.2">
      <c r="A169" s="149" t="s">
        <v>284</v>
      </c>
      <c r="B169" s="379" t="s">
        <v>428</v>
      </c>
      <c r="C169" s="318"/>
      <c r="D169" s="318"/>
      <c r="E169" s="318"/>
      <c r="F169" s="318"/>
      <c r="G169" s="318"/>
      <c r="H169" s="318"/>
      <c r="I169" s="316"/>
      <c r="J169" s="169" t="s">
        <v>429</v>
      </c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 customHeight="1" x14ac:dyDescent="0.2">
      <c r="A170" s="387" t="s">
        <v>342</v>
      </c>
      <c r="B170" s="318"/>
      <c r="C170" s="318"/>
      <c r="D170" s="318"/>
      <c r="E170" s="318"/>
      <c r="F170" s="318"/>
      <c r="G170" s="318"/>
      <c r="H170" s="318"/>
      <c r="I170" s="316"/>
      <c r="J170" s="181" t="e">
        <f>SUM(J166:J169)</f>
        <v>#DIV/0!</v>
      </c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 customHeight="1" x14ac:dyDescent="0.2">
      <c r="A171" s="368"/>
      <c r="B171" s="318"/>
      <c r="C171" s="318"/>
      <c r="D171" s="318"/>
      <c r="E171" s="318"/>
      <c r="F171" s="318"/>
      <c r="G171" s="318"/>
      <c r="H171" s="318"/>
      <c r="I171" s="318"/>
      <c r="J171" s="316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4.25" customHeight="1" x14ac:dyDescent="0.2">
      <c r="A172" s="385" t="s">
        <v>430</v>
      </c>
      <c r="B172" s="318"/>
      <c r="C172" s="318"/>
      <c r="D172" s="318"/>
      <c r="E172" s="318"/>
      <c r="F172" s="318"/>
      <c r="G172" s="318"/>
      <c r="H172" s="318"/>
      <c r="I172" s="318"/>
      <c r="J172" s="316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 customHeight="1" x14ac:dyDescent="0.2">
      <c r="A173" s="368"/>
      <c r="B173" s="318"/>
      <c r="C173" s="318"/>
      <c r="D173" s="318"/>
      <c r="E173" s="318"/>
      <c r="F173" s="318"/>
      <c r="G173" s="318"/>
      <c r="H173" s="318"/>
      <c r="I173" s="318"/>
      <c r="J173" s="316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 x14ac:dyDescent="0.2">
      <c r="A174" s="376" t="s">
        <v>431</v>
      </c>
      <c r="B174" s="318"/>
      <c r="C174" s="318"/>
      <c r="D174" s="318"/>
      <c r="E174" s="318"/>
      <c r="F174" s="318"/>
      <c r="G174" s="318"/>
      <c r="H174" s="318"/>
      <c r="I174" s="318"/>
      <c r="J174" s="316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 customHeight="1" x14ac:dyDescent="0.2">
      <c r="A175" s="154">
        <v>6</v>
      </c>
      <c r="B175" s="388" t="s">
        <v>432</v>
      </c>
      <c r="C175" s="318"/>
      <c r="D175" s="318"/>
      <c r="E175" s="318"/>
      <c r="F175" s="318"/>
      <c r="G175" s="318"/>
      <c r="H175" s="316"/>
      <c r="I175" s="142" t="s">
        <v>356</v>
      </c>
      <c r="J175" s="182" t="s">
        <v>433</v>
      </c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51" customHeight="1" x14ac:dyDescent="0.2">
      <c r="A176" s="355" t="s">
        <v>434</v>
      </c>
      <c r="B176" s="318"/>
      <c r="C176" s="318"/>
      <c r="D176" s="318"/>
      <c r="E176" s="318"/>
      <c r="F176" s="318"/>
      <c r="G176" s="318"/>
      <c r="H176" s="316"/>
      <c r="I176" s="183" t="s">
        <v>375</v>
      </c>
      <c r="J176" s="141" t="e">
        <f>SUM(J68+J121+J131+J162+J170)</f>
        <v>#DIV/0!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 customHeight="1" x14ac:dyDescent="0.2">
      <c r="A177" s="184" t="s">
        <v>278</v>
      </c>
      <c r="B177" s="407" t="s">
        <v>435</v>
      </c>
      <c r="C177" s="318"/>
      <c r="D177" s="318"/>
      <c r="E177" s="318"/>
      <c r="F177" s="318"/>
      <c r="G177" s="318"/>
      <c r="H177" s="316"/>
      <c r="I177" s="185">
        <f>'Aba Carregamento'!C99</f>
        <v>0</v>
      </c>
      <c r="J177" s="156" t="e">
        <f>ROUND(J176*I177,2)</f>
        <v>#DIV/0!</v>
      </c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51" customHeight="1" x14ac:dyDescent="0.2">
      <c r="A178" s="355" t="s">
        <v>436</v>
      </c>
      <c r="B178" s="318"/>
      <c r="C178" s="318"/>
      <c r="D178" s="318"/>
      <c r="E178" s="318"/>
      <c r="F178" s="318"/>
      <c r="G178" s="318"/>
      <c r="H178" s="316"/>
      <c r="I178" s="186" t="s">
        <v>375</v>
      </c>
      <c r="J178" s="141" t="e">
        <f>SUM(J68+J121+J131+J162+J170+J177)</f>
        <v>#DIV/0!</v>
      </c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 customHeight="1" x14ac:dyDescent="0.2">
      <c r="A179" s="184" t="s">
        <v>280</v>
      </c>
      <c r="B179" s="407" t="s">
        <v>86</v>
      </c>
      <c r="C179" s="318"/>
      <c r="D179" s="318"/>
      <c r="E179" s="318"/>
      <c r="F179" s="318"/>
      <c r="G179" s="318"/>
      <c r="H179" s="316"/>
      <c r="I179" s="185">
        <f>'Aba Carregamento'!C100</f>
        <v>0</v>
      </c>
      <c r="J179" s="156" t="e">
        <f>ROUND(I179*J178,2)</f>
        <v>#DIV/0!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51" customHeight="1" x14ac:dyDescent="0.2">
      <c r="A180" s="355" t="s">
        <v>437</v>
      </c>
      <c r="B180" s="318"/>
      <c r="C180" s="318"/>
      <c r="D180" s="318"/>
      <c r="E180" s="318"/>
      <c r="F180" s="318"/>
      <c r="G180" s="318"/>
      <c r="H180" s="316"/>
      <c r="I180" s="186" t="s">
        <v>375</v>
      </c>
      <c r="J180" s="141" t="e">
        <f>SUM(J68+J121+J131+J162+J170+J177+J179)</f>
        <v>#DIV/0!</v>
      </c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 x14ac:dyDescent="0.2">
      <c r="A181" s="184" t="s">
        <v>282</v>
      </c>
      <c r="B181" s="407" t="s">
        <v>438</v>
      </c>
      <c r="C181" s="318"/>
      <c r="D181" s="318"/>
      <c r="E181" s="318"/>
      <c r="F181" s="318"/>
      <c r="G181" s="318"/>
      <c r="H181" s="316"/>
      <c r="I181" s="187" t="s">
        <v>375</v>
      </c>
      <c r="J181" s="163" t="s">
        <v>375</v>
      </c>
      <c r="K181" s="61"/>
      <c r="L181" s="421" t="s">
        <v>439</v>
      </c>
      <c r="M181" s="289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 x14ac:dyDescent="0.2">
      <c r="A182" s="149"/>
      <c r="B182" s="379" t="s">
        <v>440</v>
      </c>
      <c r="C182" s="318"/>
      <c r="D182" s="318"/>
      <c r="E182" s="318"/>
      <c r="F182" s="318"/>
      <c r="G182" s="318"/>
      <c r="H182" s="316"/>
      <c r="I182" s="187" t="s">
        <v>375</v>
      </c>
      <c r="J182" s="163" t="s">
        <v>375</v>
      </c>
      <c r="K182" s="188"/>
      <c r="L182" s="189" t="s">
        <v>441</v>
      </c>
      <c r="M182" s="189" t="s">
        <v>442</v>
      </c>
      <c r="N182" s="190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 customHeight="1" x14ac:dyDescent="0.2">
      <c r="A183" s="149"/>
      <c r="B183" s="382" t="s">
        <v>597</v>
      </c>
      <c r="C183" s="318"/>
      <c r="D183" s="318"/>
      <c r="E183" s="318"/>
      <c r="F183" s="318"/>
      <c r="G183" s="318"/>
      <c r="H183" s="316"/>
      <c r="I183" s="191">
        <f>'Aba Carregamento'!C103</f>
        <v>0</v>
      </c>
      <c r="J183" s="156" t="e">
        <f t="shared" ref="J183:J184" si="2">ROUND(($J$180/(1-$I$192))*I183,2)</f>
        <v>#DIV/0!</v>
      </c>
      <c r="K183" s="188" t="s">
        <v>444</v>
      </c>
      <c r="L183" s="192">
        <v>0.03</v>
      </c>
      <c r="M183" s="192">
        <v>7.5999999999999998E-2</v>
      </c>
      <c r="N183" s="190">
        <f>IF('Aba Carregamento'!B66&lt;&gt;"",'Valor posto 40%'!L183,0)</f>
        <v>0</v>
      </c>
      <c r="O183" s="190">
        <f>IF('Aba Carregamento'!B67&lt;&gt;"",'Valor posto 40%'!M183,0)</f>
        <v>0</v>
      </c>
      <c r="P183" s="190">
        <f t="shared" ref="P183:P184" si="3">N183+O183</f>
        <v>0</v>
      </c>
      <c r="Q183" s="190" t="s">
        <v>445</v>
      </c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 customHeight="1" x14ac:dyDescent="0.2">
      <c r="A184" s="149"/>
      <c r="B184" s="379" t="s">
        <v>598</v>
      </c>
      <c r="C184" s="318"/>
      <c r="D184" s="318"/>
      <c r="E184" s="318"/>
      <c r="F184" s="318"/>
      <c r="G184" s="318"/>
      <c r="H184" s="316"/>
      <c r="I184" s="191">
        <f>'Aba Carregamento'!C102</f>
        <v>0</v>
      </c>
      <c r="J184" s="156" t="e">
        <f t="shared" si="2"/>
        <v>#DIV/0!</v>
      </c>
      <c r="K184" s="188" t="s">
        <v>88</v>
      </c>
      <c r="L184" s="192">
        <v>6.4999999999999997E-3</v>
      </c>
      <c r="M184" s="192">
        <v>1.6500000000000001E-2</v>
      </c>
      <c r="N184" s="190">
        <f>IF('Aba Carregamento'!B66&lt;&gt;"",'Valor posto 40%'!L184,0)</f>
        <v>0</v>
      </c>
      <c r="O184" s="190">
        <f>IF('Aba Carregamento'!B67&lt;&gt;"",'Valor posto 40%'!M184,0)</f>
        <v>0</v>
      </c>
      <c r="P184" s="190">
        <f t="shared" si="3"/>
        <v>0</v>
      </c>
      <c r="Q184" s="190" t="s">
        <v>445</v>
      </c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27" customHeight="1" x14ac:dyDescent="0.2">
      <c r="A185" s="149"/>
      <c r="B185" s="358" t="s">
        <v>599</v>
      </c>
      <c r="C185" s="318"/>
      <c r="D185" s="318"/>
      <c r="E185" s="318"/>
      <c r="F185" s="318"/>
      <c r="G185" s="318"/>
      <c r="H185" s="316"/>
      <c r="I185" s="193" t="s">
        <v>375</v>
      </c>
      <c r="J185" s="163" t="s">
        <v>375</v>
      </c>
      <c r="K185" s="194"/>
      <c r="L185" s="61"/>
      <c r="M185" s="61"/>
      <c r="N185" s="190"/>
      <c r="O185" s="190"/>
      <c r="P185" s="190"/>
      <c r="Q185" s="190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27" customHeight="1" x14ac:dyDescent="0.2">
      <c r="A186" s="149"/>
      <c r="B186" s="358" t="s">
        <v>600</v>
      </c>
      <c r="C186" s="318"/>
      <c r="D186" s="318"/>
      <c r="E186" s="318"/>
      <c r="F186" s="318"/>
      <c r="G186" s="318"/>
      <c r="H186" s="316"/>
      <c r="I186" s="193" t="s">
        <v>375</v>
      </c>
      <c r="J186" s="163" t="s">
        <v>375</v>
      </c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 x14ac:dyDescent="0.2">
      <c r="A187" s="149"/>
      <c r="B187" s="379" t="s">
        <v>449</v>
      </c>
      <c r="C187" s="318"/>
      <c r="D187" s="318"/>
      <c r="E187" s="318"/>
      <c r="F187" s="318"/>
      <c r="G187" s="318"/>
      <c r="H187" s="316"/>
      <c r="I187" s="193" t="s">
        <v>375</v>
      </c>
      <c r="J187" s="163" t="s">
        <v>375</v>
      </c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 customHeight="1" x14ac:dyDescent="0.2">
      <c r="A188" s="149"/>
      <c r="B188" s="379" t="s">
        <v>450</v>
      </c>
      <c r="C188" s="318"/>
      <c r="D188" s="318"/>
      <c r="E188" s="318"/>
      <c r="F188" s="318"/>
      <c r="G188" s="318"/>
      <c r="H188" s="316"/>
      <c r="I188" s="193" t="s">
        <v>375</v>
      </c>
      <c r="J188" s="163" t="s">
        <v>375</v>
      </c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 x14ac:dyDescent="0.2">
      <c r="A189" s="149"/>
      <c r="B189" s="379" t="s">
        <v>601</v>
      </c>
      <c r="C189" s="318"/>
      <c r="D189" s="318"/>
      <c r="E189" s="318"/>
      <c r="F189" s="318"/>
      <c r="G189" s="318"/>
      <c r="H189" s="316"/>
      <c r="I189" s="195">
        <f>'Aba Carregamento'!C101</f>
        <v>0</v>
      </c>
      <c r="J189" s="156" t="e">
        <f>ROUND(($J$180/(1-$I$192))*I189,2)</f>
        <v>#DIV/0!</v>
      </c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 customHeight="1" x14ac:dyDescent="0.2">
      <c r="A190" s="387" t="s">
        <v>351</v>
      </c>
      <c r="B190" s="318"/>
      <c r="C190" s="318"/>
      <c r="D190" s="318"/>
      <c r="E190" s="318"/>
      <c r="F190" s="318"/>
      <c r="G190" s="318"/>
      <c r="H190" s="318"/>
      <c r="I190" s="316"/>
      <c r="J190" s="153" t="e">
        <f>SUM(J177+J179+J183+J184+J189)</f>
        <v>#DIV/0!</v>
      </c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 x14ac:dyDescent="0.2">
      <c r="A191" s="368"/>
      <c r="B191" s="318"/>
      <c r="C191" s="318"/>
      <c r="D191" s="318"/>
      <c r="E191" s="318"/>
      <c r="F191" s="318"/>
      <c r="G191" s="318"/>
      <c r="H191" s="318"/>
      <c r="I191" s="318"/>
      <c r="J191" s="316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4.25" customHeight="1" x14ac:dyDescent="0.2">
      <c r="A192" s="384" t="s">
        <v>452</v>
      </c>
      <c r="B192" s="318"/>
      <c r="C192" s="318"/>
      <c r="D192" s="318"/>
      <c r="E192" s="318"/>
      <c r="F192" s="318"/>
      <c r="G192" s="318"/>
      <c r="H192" s="316"/>
      <c r="I192" s="196">
        <f t="shared" ref="I192:J192" si="4">SUM(I183:I189)</f>
        <v>0</v>
      </c>
      <c r="J192" s="141" t="e">
        <f t="shared" si="4"/>
        <v>#DIV/0!</v>
      </c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 x14ac:dyDescent="0.2">
      <c r="A193" s="408" t="s">
        <v>453</v>
      </c>
      <c r="B193" s="409"/>
      <c r="C193" s="410"/>
      <c r="D193" s="416" t="s">
        <v>454</v>
      </c>
      <c r="E193" s="318"/>
      <c r="F193" s="318"/>
      <c r="G193" s="318"/>
      <c r="H193" s="318"/>
      <c r="I193" s="318"/>
      <c r="J193" s="316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 x14ac:dyDescent="0.2">
      <c r="A194" s="411"/>
      <c r="B194" s="311"/>
      <c r="C194" s="412"/>
      <c r="D194" s="416" t="s">
        <v>455</v>
      </c>
      <c r="E194" s="318"/>
      <c r="F194" s="318"/>
      <c r="G194" s="318"/>
      <c r="H194" s="318"/>
      <c r="I194" s="318"/>
      <c r="J194" s="316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 x14ac:dyDescent="0.2">
      <c r="A195" s="413"/>
      <c r="B195" s="414"/>
      <c r="C195" s="415"/>
      <c r="D195" s="416" t="s">
        <v>456</v>
      </c>
      <c r="E195" s="318"/>
      <c r="F195" s="318"/>
      <c r="G195" s="318"/>
      <c r="H195" s="318"/>
      <c r="I195" s="318"/>
      <c r="J195" s="316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 customHeight="1" x14ac:dyDescent="0.2">
      <c r="A196" s="368"/>
      <c r="B196" s="318"/>
      <c r="C196" s="318"/>
      <c r="D196" s="318"/>
      <c r="E196" s="318"/>
      <c r="F196" s="318"/>
      <c r="G196" s="318"/>
      <c r="H196" s="318"/>
      <c r="I196" s="318"/>
      <c r="J196" s="316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27" customHeight="1" x14ac:dyDescent="0.2">
      <c r="A197" s="353" t="s">
        <v>457</v>
      </c>
      <c r="B197" s="318"/>
      <c r="C197" s="318"/>
      <c r="D197" s="318"/>
      <c r="E197" s="318"/>
      <c r="F197" s="318"/>
      <c r="G197" s="318"/>
      <c r="H197" s="318"/>
      <c r="I197" s="318"/>
      <c r="J197" s="316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 customHeight="1" x14ac:dyDescent="0.2">
      <c r="A198" s="368"/>
      <c r="B198" s="318"/>
      <c r="C198" s="318"/>
      <c r="D198" s="318"/>
      <c r="E198" s="318"/>
      <c r="F198" s="318"/>
      <c r="G198" s="318"/>
      <c r="H198" s="318"/>
      <c r="I198" s="318"/>
      <c r="J198" s="316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45.75" customHeight="1" x14ac:dyDescent="0.2">
      <c r="A199" s="417" t="s">
        <v>458</v>
      </c>
      <c r="B199" s="318"/>
      <c r="C199" s="318"/>
      <c r="D199" s="318"/>
      <c r="E199" s="318"/>
      <c r="F199" s="318"/>
      <c r="G199" s="318"/>
      <c r="H199" s="318"/>
      <c r="I199" s="318"/>
      <c r="J199" s="316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4.25" customHeight="1" x14ac:dyDescent="0.2">
      <c r="A200" s="418" t="s">
        <v>459</v>
      </c>
      <c r="B200" s="318"/>
      <c r="C200" s="318"/>
      <c r="D200" s="318"/>
      <c r="E200" s="318"/>
      <c r="F200" s="318"/>
      <c r="G200" s="318"/>
      <c r="H200" s="318"/>
      <c r="I200" s="316"/>
      <c r="J200" s="197" t="s">
        <v>348</v>
      </c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4.25" customHeight="1" x14ac:dyDescent="0.2">
      <c r="A201" s="198" t="s">
        <v>278</v>
      </c>
      <c r="B201" s="419" t="s">
        <v>460</v>
      </c>
      <c r="C201" s="318"/>
      <c r="D201" s="318"/>
      <c r="E201" s="318"/>
      <c r="F201" s="318"/>
      <c r="G201" s="318"/>
      <c r="H201" s="318"/>
      <c r="I201" s="316"/>
      <c r="J201" s="169">
        <f>J68</f>
        <v>0</v>
      </c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4.25" customHeight="1" x14ac:dyDescent="0.2">
      <c r="A202" s="198" t="s">
        <v>280</v>
      </c>
      <c r="B202" s="419" t="s">
        <v>344</v>
      </c>
      <c r="C202" s="318"/>
      <c r="D202" s="318"/>
      <c r="E202" s="318"/>
      <c r="F202" s="318"/>
      <c r="G202" s="318"/>
      <c r="H202" s="318"/>
      <c r="I202" s="316"/>
      <c r="J202" s="169">
        <f>J121</f>
        <v>0</v>
      </c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4.25" customHeight="1" x14ac:dyDescent="0.2">
      <c r="A203" s="198" t="s">
        <v>282</v>
      </c>
      <c r="B203" s="419" t="s">
        <v>461</v>
      </c>
      <c r="C203" s="318"/>
      <c r="D203" s="318"/>
      <c r="E203" s="318"/>
      <c r="F203" s="318"/>
      <c r="G203" s="318"/>
      <c r="H203" s="318"/>
      <c r="I203" s="316"/>
      <c r="J203" s="169">
        <f>J131</f>
        <v>0</v>
      </c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4.25" customHeight="1" x14ac:dyDescent="0.2">
      <c r="A204" s="198" t="s">
        <v>284</v>
      </c>
      <c r="B204" s="419" t="s">
        <v>462</v>
      </c>
      <c r="C204" s="318"/>
      <c r="D204" s="318"/>
      <c r="E204" s="318"/>
      <c r="F204" s="318"/>
      <c r="G204" s="318"/>
      <c r="H204" s="318"/>
      <c r="I204" s="316"/>
      <c r="J204" s="169">
        <f>J162</f>
        <v>0</v>
      </c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4.25" customHeight="1" x14ac:dyDescent="0.2">
      <c r="A205" s="198" t="s">
        <v>336</v>
      </c>
      <c r="B205" s="419" t="s">
        <v>463</v>
      </c>
      <c r="C205" s="318"/>
      <c r="D205" s="318"/>
      <c r="E205" s="318"/>
      <c r="F205" s="318"/>
      <c r="G205" s="318"/>
      <c r="H205" s="318"/>
      <c r="I205" s="316"/>
      <c r="J205" s="169" t="e">
        <f>J170</f>
        <v>#DIV/0!</v>
      </c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4.25" customHeight="1" x14ac:dyDescent="0.2">
      <c r="A206" s="422" t="s">
        <v>464</v>
      </c>
      <c r="B206" s="318"/>
      <c r="C206" s="318"/>
      <c r="D206" s="318"/>
      <c r="E206" s="318"/>
      <c r="F206" s="318"/>
      <c r="G206" s="318"/>
      <c r="H206" s="318"/>
      <c r="I206" s="316"/>
      <c r="J206" s="181" t="e">
        <f>SUM(J201:J205)</f>
        <v>#DIV/0!</v>
      </c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4.25" customHeight="1" x14ac:dyDescent="0.2">
      <c r="A207" s="198" t="s">
        <v>338</v>
      </c>
      <c r="B207" s="419" t="s">
        <v>465</v>
      </c>
      <c r="C207" s="318"/>
      <c r="D207" s="318"/>
      <c r="E207" s="318"/>
      <c r="F207" s="318"/>
      <c r="G207" s="318"/>
      <c r="H207" s="318"/>
      <c r="I207" s="316"/>
      <c r="J207" s="169" t="e">
        <f>J190</f>
        <v>#DIV/0!</v>
      </c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4.25" customHeight="1" x14ac:dyDescent="0.2">
      <c r="A208" s="422" t="s">
        <v>466</v>
      </c>
      <c r="B208" s="318"/>
      <c r="C208" s="318"/>
      <c r="D208" s="318"/>
      <c r="E208" s="318"/>
      <c r="F208" s="318"/>
      <c r="G208" s="318"/>
      <c r="H208" s="318"/>
      <c r="I208" s="316"/>
      <c r="J208" s="181" t="e">
        <f>SUM(J206:J207)</f>
        <v>#DIV/0!</v>
      </c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6.5" customHeight="1" x14ac:dyDescent="0.2">
      <c r="A209" s="426" t="s">
        <v>467</v>
      </c>
      <c r="B209" s="318"/>
      <c r="C209" s="318"/>
      <c r="D209" s="318"/>
      <c r="E209" s="318"/>
      <c r="F209" s="318"/>
      <c r="G209" s="318"/>
      <c r="H209" s="318"/>
      <c r="I209" s="318"/>
      <c r="J209" s="316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4.25" customHeight="1" x14ac:dyDescent="0.2">
      <c r="A210" s="358" t="s">
        <v>468</v>
      </c>
      <c r="B210" s="318"/>
      <c r="C210" s="318"/>
      <c r="D210" s="318"/>
      <c r="E210" s="318"/>
      <c r="F210" s="318"/>
      <c r="G210" s="318"/>
      <c r="H210" s="318"/>
      <c r="I210" s="318"/>
      <c r="J210" s="316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31.5" customHeight="1" x14ac:dyDescent="0.2">
      <c r="A211" s="358" t="s">
        <v>602</v>
      </c>
      <c r="B211" s="318"/>
      <c r="C211" s="318"/>
      <c r="D211" s="318"/>
      <c r="E211" s="318"/>
      <c r="F211" s="318"/>
      <c r="G211" s="318"/>
      <c r="H211" s="318"/>
      <c r="I211" s="318"/>
      <c r="J211" s="316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39" customHeight="1" x14ac:dyDescent="0.2">
      <c r="A212" s="427" t="s">
        <v>470</v>
      </c>
      <c r="B212" s="318"/>
      <c r="C212" s="316"/>
      <c r="D212" s="427" t="s">
        <v>471</v>
      </c>
      <c r="E212" s="318"/>
      <c r="F212" s="316"/>
      <c r="G212" s="365" t="s">
        <v>472</v>
      </c>
      <c r="H212" s="316"/>
      <c r="I212" s="365" t="s">
        <v>473</v>
      </c>
      <c r="J212" s="316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4.25" customHeight="1" x14ac:dyDescent="0.2">
      <c r="A213" s="353" t="s">
        <v>603</v>
      </c>
      <c r="B213" s="318"/>
      <c r="C213" s="316"/>
      <c r="D213" s="199">
        <v>1</v>
      </c>
      <c r="E213" s="183">
        <v>30</v>
      </c>
      <c r="F213" s="200">
        <f>E214</f>
        <v>0</v>
      </c>
      <c r="G213" s="423">
        <v>0</v>
      </c>
      <c r="H213" s="316"/>
      <c r="I213" s="425">
        <v>0</v>
      </c>
      <c r="J213" s="316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4.25" customHeight="1" x14ac:dyDescent="0.2">
      <c r="A214" s="353" t="s">
        <v>604</v>
      </c>
      <c r="B214" s="318"/>
      <c r="C214" s="316"/>
      <c r="D214" s="199">
        <v>1</v>
      </c>
      <c r="E214" s="428">
        <f>'Qtd postos 40%'!C3</f>
        <v>0</v>
      </c>
      <c r="F214" s="316"/>
      <c r="G214" s="424" t="e">
        <f>J208</f>
        <v>#DIV/0!</v>
      </c>
      <c r="H214" s="316"/>
      <c r="I214" s="425">
        <v>0</v>
      </c>
      <c r="J214" s="316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4.25" customHeight="1" x14ac:dyDescent="0.2">
      <c r="A215" s="429" t="s">
        <v>476</v>
      </c>
      <c r="B215" s="318"/>
      <c r="C215" s="318"/>
      <c r="D215" s="318"/>
      <c r="E215" s="318"/>
      <c r="F215" s="318"/>
      <c r="G215" s="318"/>
      <c r="H215" s="316"/>
      <c r="I215" s="425">
        <f>SUM(I213+I214)</f>
        <v>0</v>
      </c>
      <c r="J215" s="316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4.25" customHeight="1" x14ac:dyDescent="0.2">
      <c r="A216" s="430"/>
      <c r="B216" s="318"/>
      <c r="C216" s="318"/>
      <c r="D216" s="318"/>
      <c r="E216" s="318"/>
      <c r="F216" s="318"/>
      <c r="G216" s="318"/>
      <c r="H216" s="318"/>
      <c r="I216" s="318"/>
      <c r="J216" s="316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4.25" customHeight="1" x14ac:dyDescent="0.2">
      <c r="A217" s="353" t="s">
        <v>605</v>
      </c>
      <c r="B217" s="318"/>
      <c r="C217" s="316"/>
      <c r="D217" s="201">
        <v>1</v>
      </c>
      <c r="E217" s="183">
        <v>30</v>
      </c>
      <c r="F217" s="200">
        <f>E218</f>
        <v>0</v>
      </c>
      <c r="G217" s="423">
        <v>0</v>
      </c>
      <c r="H217" s="316"/>
      <c r="I217" s="425">
        <f>ROUND((D217/E217*F217)*G217,2)</f>
        <v>0</v>
      </c>
      <c r="J217" s="316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4.25" customHeight="1" x14ac:dyDescent="0.2">
      <c r="A218" s="353" t="s">
        <v>606</v>
      </c>
      <c r="B218" s="318"/>
      <c r="C218" s="316"/>
      <c r="D218" s="201">
        <v>1</v>
      </c>
      <c r="E218" s="428">
        <f>'Qtd postos 40%'!C4</f>
        <v>0</v>
      </c>
      <c r="F218" s="316"/>
      <c r="G218" s="423" t="e">
        <f>J208</f>
        <v>#DIV/0!</v>
      </c>
      <c r="H218" s="316"/>
      <c r="I218" s="425">
        <v>0</v>
      </c>
      <c r="J218" s="316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4.25" customHeight="1" x14ac:dyDescent="0.2">
      <c r="A219" s="429" t="s">
        <v>476</v>
      </c>
      <c r="B219" s="318"/>
      <c r="C219" s="318"/>
      <c r="D219" s="318"/>
      <c r="E219" s="318"/>
      <c r="F219" s="318"/>
      <c r="G219" s="318"/>
      <c r="H219" s="316"/>
      <c r="I219" s="425">
        <f>SUM(I217+I218)</f>
        <v>0</v>
      </c>
      <c r="J219" s="316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4.25" customHeight="1" x14ac:dyDescent="0.2">
      <c r="A220" s="430"/>
      <c r="B220" s="318"/>
      <c r="C220" s="318"/>
      <c r="D220" s="318"/>
      <c r="E220" s="318"/>
      <c r="F220" s="318"/>
      <c r="G220" s="318"/>
      <c r="H220" s="318"/>
      <c r="I220" s="318"/>
      <c r="J220" s="316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4.25" customHeight="1" x14ac:dyDescent="0.2">
      <c r="A221" s="353" t="s">
        <v>607</v>
      </c>
      <c r="B221" s="318"/>
      <c r="C221" s="316"/>
      <c r="D221" s="199">
        <v>1</v>
      </c>
      <c r="E221" s="183">
        <v>30</v>
      </c>
      <c r="F221" s="200">
        <f>E222</f>
        <v>0</v>
      </c>
      <c r="G221" s="432">
        <v>0</v>
      </c>
      <c r="H221" s="316"/>
      <c r="I221" s="425">
        <f>ROUND((D221/E221*F221)*G221,2)</f>
        <v>0</v>
      </c>
      <c r="J221" s="316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4.25" customHeight="1" x14ac:dyDescent="0.2">
      <c r="A222" s="353" t="s">
        <v>608</v>
      </c>
      <c r="B222" s="318"/>
      <c r="C222" s="316"/>
      <c r="D222" s="199">
        <v>1</v>
      </c>
      <c r="E222" s="428">
        <f>'Qtd postos 40%'!C5</f>
        <v>0</v>
      </c>
      <c r="F222" s="316"/>
      <c r="G222" s="431" t="e">
        <f>J208</f>
        <v>#DIV/0!</v>
      </c>
      <c r="H222" s="316"/>
      <c r="I222" s="425">
        <v>0</v>
      </c>
      <c r="J222" s="316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4.25" customHeight="1" x14ac:dyDescent="0.2">
      <c r="A223" s="429" t="s">
        <v>476</v>
      </c>
      <c r="B223" s="318"/>
      <c r="C223" s="318"/>
      <c r="D223" s="318"/>
      <c r="E223" s="318"/>
      <c r="F223" s="318"/>
      <c r="G223" s="318"/>
      <c r="H223" s="316"/>
      <c r="I223" s="425">
        <f>SUM(I221+I222)</f>
        <v>0</v>
      </c>
      <c r="J223" s="316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4.25" customHeight="1" x14ac:dyDescent="0.2">
      <c r="A224" s="430"/>
      <c r="B224" s="318"/>
      <c r="C224" s="318"/>
      <c r="D224" s="318"/>
      <c r="E224" s="318"/>
      <c r="F224" s="318"/>
      <c r="G224" s="318"/>
      <c r="H224" s="318"/>
      <c r="I224" s="318"/>
      <c r="J224" s="316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4.25" customHeight="1" x14ac:dyDescent="0.2">
      <c r="A225" s="385" t="s">
        <v>609</v>
      </c>
      <c r="B225" s="318"/>
      <c r="C225" s="316"/>
      <c r="D225" s="183">
        <v>1</v>
      </c>
      <c r="E225" s="183">
        <v>30</v>
      </c>
      <c r="F225" s="200">
        <f>E226</f>
        <v>0</v>
      </c>
      <c r="G225" s="423">
        <v>0</v>
      </c>
      <c r="H225" s="316"/>
      <c r="I225" s="425">
        <v>0</v>
      </c>
      <c r="J225" s="316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4.25" customHeight="1" x14ac:dyDescent="0.2">
      <c r="A226" s="385" t="s">
        <v>610</v>
      </c>
      <c r="B226" s="318"/>
      <c r="C226" s="316"/>
      <c r="D226" s="202">
        <v>1</v>
      </c>
      <c r="E226" s="428">
        <f>'Qtd postos 40%'!C6</f>
        <v>0</v>
      </c>
      <c r="F226" s="316"/>
      <c r="G226" s="424" t="e">
        <f>J208</f>
        <v>#DIV/0!</v>
      </c>
      <c r="H226" s="316"/>
      <c r="I226" s="425">
        <v>0</v>
      </c>
      <c r="J226" s="316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4.25" customHeight="1" x14ac:dyDescent="0.2">
      <c r="A227" s="429" t="s">
        <v>476</v>
      </c>
      <c r="B227" s="318"/>
      <c r="C227" s="318"/>
      <c r="D227" s="318"/>
      <c r="E227" s="318"/>
      <c r="F227" s="318"/>
      <c r="G227" s="318"/>
      <c r="H227" s="316"/>
      <c r="I227" s="425">
        <f>SUM(I225+I226)</f>
        <v>0</v>
      </c>
      <c r="J227" s="316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4.25" customHeight="1" x14ac:dyDescent="0.2">
      <c r="A228" s="430"/>
      <c r="B228" s="318"/>
      <c r="C228" s="318"/>
      <c r="D228" s="318"/>
      <c r="E228" s="318"/>
      <c r="F228" s="318"/>
      <c r="G228" s="318"/>
      <c r="H228" s="318"/>
      <c r="I228" s="318"/>
      <c r="J228" s="316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4.25" customHeight="1" x14ac:dyDescent="0.2">
      <c r="A229" s="353" t="s">
        <v>611</v>
      </c>
      <c r="B229" s="318"/>
      <c r="C229" s="316"/>
      <c r="D229" s="199">
        <v>1</v>
      </c>
      <c r="E229" s="183">
        <v>30</v>
      </c>
      <c r="F229" s="200">
        <f>E230</f>
        <v>0</v>
      </c>
      <c r="G229" s="432">
        <v>0</v>
      </c>
      <c r="H229" s="316"/>
      <c r="I229" s="425">
        <v>0</v>
      </c>
      <c r="J229" s="316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4.25" customHeight="1" x14ac:dyDescent="0.2">
      <c r="A230" s="353" t="s">
        <v>612</v>
      </c>
      <c r="B230" s="318"/>
      <c r="C230" s="316"/>
      <c r="D230" s="199">
        <v>1</v>
      </c>
      <c r="E230" s="428">
        <f>'Qtd postos 40%'!C7</f>
        <v>0</v>
      </c>
      <c r="F230" s="316"/>
      <c r="G230" s="431" t="e">
        <f>J208</f>
        <v>#DIV/0!</v>
      </c>
      <c r="H230" s="316"/>
      <c r="I230" s="425">
        <v>0</v>
      </c>
      <c r="J230" s="316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4.25" customHeight="1" x14ac:dyDescent="0.2">
      <c r="A231" s="429" t="s">
        <v>476</v>
      </c>
      <c r="B231" s="318"/>
      <c r="C231" s="318"/>
      <c r="D231" s="318"/>
      <c r="E231" s="318"/>
      <c r="F231" s="318"/>
      <c r="G231" s="318"/>
      <c r="H231" s="316"/>
      <c r="I231" s="425"/>
      <c r="J231" s="316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4.25" customHeight="1" x14ac:dyDescent="0.2">
      <c r="A232" s="430"/>
      <c r="B232" s="318"/>
      <c r="C232" s="318"/>
      <c r="D232" s="318"/>
      <c r="E232" s="318"/>
      <c r="F232" s="318"/>
      <c r="G232" s="318"/>
      <c r="H232" s="318"/>
      <c r="I232" s="318"/>
      <c r="J232" s="316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27" customHeight="1" x14ac:dyDescent="0.2">
      <c r="A233" s="353" t="s">
        <v>613</v>
      </c>
      <c r="B233" s="318"/>
      <c r="C233" s="316"/>
      <c r="D233" s="183">
        <v>1</v>
      </c>
      <c r="E233" s="183">
        <v>30</v>
      </c>
      <c r="F233" s="200">
        <f>E234</f>
        <v>0</v>
      </c>
      <c r="G233" s="432">
        <v>0</v>
      </c>
      <c r="H233" s="316"/>
      <c r="I233" s="425">
        <f>ROUND((D233/E233*F233)*G233,2)</f>
        <v>0</v>
      </c>
      <c r="J233" s="316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27" customHeight="1" x14ac:dyDescent="0.2">
      <c r="A234" s="353" t="s">
        <v>614</v>
      </c>
      <c r="B234" s="318"/>
      <c r="C234" s="316"/>
      <c r="D234" s="183">
        <v>1</v>
      </c>
      <c r="E234" s="428">
        <f>'Qtd postos 40%'!C8</f>
        <v>0</v>
      </c>
      <c r="F234" s="316"/>
      <c r="G234" s="424" t="e">
        <f>J208</f>
        <v>#DIV/0!</v>
      </c>
      <c r="H234" s="316"/>
      <c r="I234" s="425">
        <v>0</v>
      </c>
      <c r="J234" s="316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4.25" customHeight="1" x14ac:dyDescent="0.2">
      <c r="A235" s="374" t="s">
        <v>476</v>
      </c>
      <c r="B235" s="318"/>
      <c r="C235" s="318"/>
      <c r="D235" s="318"/>
      <c r="E235" s="318"/>
      <c r="F235" s="318"/>
      <c r="G235" s="318"/>
      <c r="H235" s="316"/>
      <c r="I235" s="433">
        <v>0</v>
      </c>
      <c r="J235" s="316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4.25" customHeight="1" x14ac:dyDescent="0.2">
      <c r="A236" s="430"/>
      <c r="B236" s="318"/>
      <c r="C236" s="318"/>
      <c r="D236" s="318"/>
      <c r="E236" s="318"/>
      <c r="F236" s="318"/>
      <c r="G236" s="318"/>
      <c r="H236" s="318"/>
      <c r="I236" s="318"/>
      <c r="J236" s="316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4.25" customHeight="1" x14ac:dyDescent="0.2">
      <c r="A237" s="358" t="s">
        <v>615</v>
      </c>
      <c r="B237" s="318"/>
      <c r="C237" s="316"/>
      <c r="D237" s="203">
        <v>1</v>
      </c>
      <c r="E237" s="203">
        <v>30</v>
      </c>
      <c r="F237" s="204">
        <f>E238</f>
        <v>0</v>
      </c>
      <c r="G237" s="424">
        <v>0</v>
      </c>
      <c r="H237" s="316"/>
      <c r="I237" s="425">
        <f>ROUND((D237/E237*F237)*G237,2)</f>
        <v>0</v>
      </c>
      <c r="J237" s="316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4.25" customHeight="1" x14ac:dyDescent="0.2">
      <c r="A238" s="358" t="s">
        <v>616</v>
      </c>
      <c r="B238" s="318"/>
      <c r="C238" s="316"/>
      <c r="D238" s="203">
        <v>1</v>
      </c>
      <c r="E238" s="434">
        <f>'Qtd postos 40%'!C9</f>
        <v>0</v>
      </c>
      <c r="F238" s="316"/>
      <c r="G238" s="424" t="e">
        <f>J208</f>
        <v>#DIV/0!</v>
      </c>
      <c r="H238" s="316"/>
      <c r="I238" s="425" t="e">
        <f>ROUND((D238/E238)*G238,2)</f>
        <v>#DIV/0!</v>
      </c>
      <c r="J238" s="316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4.25" customHeight="1" x14ac:dyDescent="0.2">
      <c r="A239" s="384" t="s">
        <v>476</v>
      </c>
      <c r="B239" s="318"/>
      <c r="C239" s="318"/>
      <c r="D239" s="318"/>
      <c r="E239" s="318"/>
      <c r="F239" s="318"/>
      <c r="G239" s="318"/>
      <c r="H239" s="316"/>
      <c r="I239" s="425" t="e">
        <f>SUM(I237+I238)</f>
        <v>#DIV/0!</v>
      </c>
      <c r="J239" s="316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4.25" customHeight="1" x14ac:dyDescent="0.2">
      <c r="A240" s="430"/>
      <c r="B240" s="318"/>
      <c r="C240" s="318"/>
      <c r="D240" s="318"/>
      <c r="E240" s="318"/>
      <c r="F240" s="318"/>
      <c r="G240" s="318"/>
      <c r="H240" s="318"/>
      <c r="I240" s="318"/>
      <c r="J240" s="316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4.25" customHeight="1" x14ac:dyDescent="0.2">
      <c r="A241" s="385" t="s">
        <v>489</v>
      </c>
      <c r="B241" s="318"/>
      <c r="C241" s="318"/>
      <c r="D241" s="318"/>
      <c r="E241" s="318"/>
      <c r="F241" s="318"/>
      <c r="G241" s="318"/>
      <c r="H241" s="318"/>
      <c r="I241" s="318"/>
      <c r="J241" s="316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4.25" customHeight="1" x14ac:dyDescent="0.2">
      <c r="A242" s="435"/>
      <c r="B242" s="318"/>
      <c r="C242" s="318"/>
      <c r="D242" s="318"/>
      <c r="E242" s="318"/>
      <c r="F242" s="318"/>
      <c r="G242" s="318"/>
      <c r="H242" s="318"/>
      <c r="I242" s="318"/>
      <c r="J242" s="316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43.5" customHeight="1" x14ac:dyDescent="0.2">
      <c r="A243" s="358" t="s">
        <v>617</v>
      </c>
      <c r="B243" s="318"/>
      <c r="C243" s="318"/>
      <c r="D243" s="318"/>
      <c r="E243" s="318"/>
      <c r="F243" s="318"/>
      <c r="G243" s="318"/>
      <c r="H243" s="318"/>
      <c r="I243" s="318"/>
      <c r="J243" s="316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39" customHeight="1" x14ac:dyDescent="0.2">
      <c r="A244" s="427" t="s">
        <v>490</v>
      </c>
      <c r="B244" s="318"/>
      <c r="C244" s="316"/>
      <c r="D244" s="427" t="s">
        <v>491</v>
      </c>
      <c r="E244" s="318"/>
      <c r="F244" s="316"/>
      <c r="G244" s="365" t="s">
        <v>492</v>
      </c>
      <c r="H244" s="316"/>
      <c r="I244" s="365" t="s">
        <v>473</v>
      </c>
      <c r="J244" s="316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39" customHeight="1" x14ac:dyDescent="0.2">
      <c r="A245" s="353" t="s">
        <v>618</v>
      </c>
      <c r="B245" s="318"/>
      <c r="C245" s="316"/>
      <c r="D245" s="205">
        <v>1</v>
      </c>
      <c r="E245" s="183" t="s">
        <v>494</v>
      </c>
      <c r="F245" s="200">
        <f>E246</f>
        <v>0</v>
      </c>
      <c r="G245" s="423">
        <v>0</v>
      </c>
      <c r="H245" s="316"/>
      <c r="I245" s="436">
        <v>0</v>
      </c>
      <c r="J245" s="316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39" customHeight="1" x14ac:dyDescent="0.2">
      <c r="A246" s="353" t="s">
        <v>619</v>
      </c>
      <c r="B246" s="318"/>
      <c r="C246" s="316"/>
      <c r="D246" s="205">
        <v>1</v>
      </c>
      <c r="E246" s="428">
        <f>'Qtd postos 40%'!C10</f>
        <v>0</v>
      </c>
      <c r="F246" s="316"/>
      <c r="G246" s="423" t="e">
        <f>J208</f>
        <v>#DIV/0!</v>
      </c>
      <c r="H246" s="316"/>
      <c r="I246" s="436">
        <v>0</v>
      </c>
      <c r="J246" s="316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4.25" customHeight="1" x14ac:dyDescent="0.2">
      <c r="A247" s="429" t="s">
        <v>476</v>
      </c>
      <c r="B247" s="318"/>
      <c r="C247" s="318"/>
      <c r="D247" s="318"/>
      <c r="E247" s="318"/>
      <c r="F247" s="318"/>
      <c r="G247" s="318"/>
      <c r="H247" s="316"/>
      <c r="I247" s="436">
        <f>SUM(I245+I246)</f>
        <v>0</v>
      </c>
      <c r="J247" s="316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4.25" customHeight="1" x14ac:dyDescent="0.2">
      <c r="A248" s="435"/>
      <c r="B248" s="318"/>
      <c r="C248" s="318"/>
      <c r="D248" s="318"/>
      <c r="E248" s="318"/>
      <c r="F248" s="318"/>
      <c r="G248" s="318"/>
      <c r="H248" s="318"/>
      <c r="I248" s="318"/>
      <c r="J248" s="316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27" customHeight="1" x14ac:dyDescent="0.2">
      <c r="A249" s="353" t="s">
        <v>620</v>
      </c>
      <c r="B249" s="318"/>
      <c r="C249" s="316"/>
      <c r="D249" s="205">
        <v>1</v>
      </c>
      <c r="E249" s="183" t="s">
        <v>494</v>
      </c>
      <c r="F249" s="200">
        <f>E250</f>
        <v>0</v>
      </c>
      <c r="G249" s="423">
        <v>0</v>
      </c>
      <c r="H249" s="316"/>
      <c r="I249" s="436">
        <v>0</v>
      </c>
      <c r="J249" s="316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27" customHeight="1" x14ac:dyDescent="0.2">
      <c r="A250" s="353" t="s">
        <v>621</v>
      </c>
      <c r="B250" s="318"/>
      <c r="C250" s="316"/>
      <c r="D250" s="205">
        <v>1</v>
      </c>
      <c r="E250" s="428">
        <f>'Qtd postos 40%'!C11</f>
        <v>0</v>
      </c>
      <c r="F250" s="316"/>
      <c r="G250" s="423" t="e">
        <f>J208</f>
        <v>#DIV/0!</v>
      </c>
      <c r="H250" s="316"/>
      <c r="I250" s="436">
        <v>0</v>
      </c>
      <c r="J250" s="316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4.25" customHeight="1" x14ac:dyDescent="0.2">
      <c r="A251" s="429" t="s">
        <v>476</v>
      </c>
      <c r="B251" s="318"/>
      <c r="C251" s="318"/>
      <c r="D251" s="318"/>
      <c r="E251" s="318"/>
      <c r="F251" s="318"/>
      <c r="G251" s="318"/>
      <c r="H251" s="316"/>
      <c r="I251" s="436">
        <f>SUM(I249+I250)</f>
        <v>0</v>
      </c>
      <c r="J251" s="316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4.25" customHeight="1" x14ac:dyDescent="0.2">
      <c r="A252" s="435"/>
      <c r="B252" s="318"/>
      <c r="C252" s="318"/>
      <c r="D252" s="318"/>
      <c r="E252" s="318"/>
      <c r="F252" s="318"/>
      <c r="G252" s="318"/>
      <c r="H252" s="318"/>
      <c r="I252" s="318"/>
      <c r="J252" s="316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27" customHeight="1" x14ac:dyDescent="0.2">
      <c r="A253" s="353" t="s">
        <v>622</v>
      </c>
      <c r="B253" s="318"/>
      <c r="C253" s="316"/>
      <c r="D253" s="205">
        <v>1</v>
      </c>
      <c r="E253" s="183" t="s">
        <v>494</v>
      </c>
      <c r="F253" s="200">
        <f>E254</f>
        <v>0</v>
      </c>
      <c r="G253" s="423">
        <v>0</v>
      </c>
      <c r="H253" s="316"/>
      <c r="I253" s="436">
        <f>ROUND((D253/E253*F253)*G253,2)</f>
        <v>0</v>
      </c>
      <c r="J253" s="316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27" customHeight="1" x14ac:dyDescent="0.2">
      <c r="A254" s="353" t="s">
        <v>623</v>
      </c>
      <c r="B254" s="318"/>
      <c r="C254" s="316"/>
      <c r="D254" s="205">
        <v>1</v>
      </c>
      <c r="E254" s="428">
        <f>'Qtd postos 40%'!C12</f>
        <v>0</v>
      </c>
      <c r="F254" s="316"/>
      <c r="G254" s="423" t="e">
        <f>J208</f>
        <v>#DIV/0!</v>
      </c>
      <c r="H254" s="316"/>
      <c r="I254" s="436">
        <v>0</v>
      </c>
      <c r="J254" s="316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4.25" customHeight="1" x14ac:dyDescent="0.2">
      <c r="A255" s="429" t="s">
        <v>476</v>
      </c>
      <c r="B255" s="318"/>
      <c r="C255" s="318"/>
      <c r="D255" s="318"/>
      <c r="E255" s="318"/>
      <c r="F255" s="318"/>
      <c r="G255" s="318"/>
      <c r="H255" s="316"/>
      <c r="I255" s="436">
        <f>SUM(I253+I254)</f>
        <v>0</v>
      </c>
      <c r="J255" s="316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4.25" customHeight="1" x14ac:dyDescent="0.2">
      <c r="A256" s="435"/>
      <c r="B256" s="318"/>
      <c r="C256" s="318"/>
      <c r="D256" s="318"/>
      <c r="E256" s="318"/>
      <c r="F256" s="318"/>
      <c r="G256" s="318"/>
      <c r="H256" s="318"/>
      <c r="I256" s="318"/>
      <c r="J256" s="316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27" customHeight="1" x14ac:dyDescent="0.2">
      <c r="A257" s="353" t="s">
        <v>624</v>
      </c>
      <c r="B257" s="318"/>
      <c r="C257" s="316"/>
      <c r="D257" s="205">
        <v>1</v>
      </c>
      <c r="E257" s="183" t="s">
        <v>494</v>
      </c>
      <c r="F257" s="200">
        <f>E258</f>
        <v>0</v>
      </c>
      <c r="G257" s="423">
        <v>0</v>
      </c>
      <c r="H257" s="316"/>
      <c r="I257" s="401">
        <f>ROUND((D257/E257*F257)*G257,2)</f>
        <v>0</v>
      </c>
      <c r="J257" s="316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27" customHeight="1" x14ac:dyDescent="0.2">
      <c r="A258" s="353" t="s">
        <v>625</v>
      </c>
      <c r="B258" s="318"/>
      <c r="C258" s="316"/>
      <c r="D258" s="205">
        <v>1</v>
      </c>
      <c r="E258" s="428">
        <f>'Qtd postos 40%'!C13</f>
        <v>0</v>
      </c>
      <c r="F258" s="316"/>
      <c r="G258" s="423" t="e">
        <f>J208</f>
        <v>#DIV/0!</v>
      </c>
      <c r="H258" s="316"/>
      <c r="I258" s="401">
        <v>0</v>
      </c>
      <c r="J258" s="316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4.25" customHeight="1" x14ac:dyDescent="0.2">
      <c r="A259" s="429" t="s">
        <v>476</v>
      </c>
      <c r="B259" s="318"/>
      <c r="C259" s="318"/>
      <c r="D259" s="318"/>
      <c r="E259" s="318"/>
      <c r="F259" s="318"/>
      <c r="G259" s="318"/>
      <c r="H259" s="316"/>
      <c r="I259" s="401">
        <f>SUM(I257+I258)</f>
        <v>0</v>
      </c>
      <c r="J259" s="316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4.25" customHeight="1" x14ac:dyDescent="0.2">
      <c r="A260" s="435"/>
      <c r="B260" s="318"/>
      <c r="C260" s="318"/>
      <c r="D260" s="318"/>
      <c r="E260" s="318"/>
      <c r="F260" s="318"/>
      <c r="G260" s="318"/>
      <c r="H260" s="318"/>
      <c r="I260" s="318"/>
      <c r="J260" s="316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27" customHeight="1" x14ac:dyDescent="0.2">
      <c r="A261" s="353" t="s">
        <v>626</v>
      </c>
      <c r="B261" s="318"/>
      <c r="C261" s="316"/>
      <c r="D261" s="205" t="s">
        <v>503</v>
      </c>
      <c r="E261" s="183" t="s">
        <v>494</v>
      </c>
      <c r="F261" s="200">
        <f>E262</f>
        <v>0</v>
      </c>
      <c r="G261" s="423">
        <v>0</v>
      </c>
      <c r="H261" s="316"/>
      <c r="I261" s="436">
        <v>0</v>
      </c>
      <c r="J261" s="316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27" customHeight="1" x14ac:dyDescent="0.2">
      <c r="A262" s="353" t="s">
        <v>627</v>
      </c>
      <c r="B262" s="318"/>
      <c r="C262" s="316"/>
      <c r="D262" s="205">
        <v>1</v>
      </c>
      <c r="E262" s="428">
        <f>'Qtd postos 40%'!C14</f>
        <v>0</v>
      </c>
      <c r="F262" s="316"/>
      <c r="G262" s="423" t="e">
        <f>J208</f>
        <v>#DIV/0!</v>
      </c>
      <c r="H262" s="316"/>
      <c r="I262" s="436">
        <v>0</v>
      </c>
      <c r="J262" s="316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4.25" customHeight="1" x14ac:dyDescent="0.2">
      <c r="A263" s="374" t="s">
        <v>476</v>
      </c>
      <c r="B263" s="318"/>
      <c r="C263" s="318"/>
      <c r="D263" s="318"/>
      <c r="E263" s="318"/>
      <c r="F263" s="318"/>
      <c r="G263" s="318"/>
      <c r="H263" s="316"/>
      <c r="I263" s="433">
        <f>SUM(I261+I262)</f>
        <v>0</v>
      </c>
      <c r="J263" s="316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4.25" customHeight="1" x14ac:dyDescent="0.2">
      <c r="A264" s="435"/>
      <c r="B264" s="318"/>
      <c r="C264" s="318"/>
      <c r="D264" s="318"/>
      <c r="E264" s="318"/>
      <c r="F264" s="318"/>
      <c r="G264" s="318"/>
      <c r="H264" s="318"/>
      <c r="I264" s="318"/>
      <c r="J264" s="316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39" customHeight="1" x14ac:dyDescent="0.2">
      <c r="A265" s="353" t="s">
        <v>628</v>
      </c>
      <c r="B265" s="318"/>
      <c r="C265" s="316"/>
      <c r="D265" s="205" t="s">
        <v>503</v>
      </c>
      <c r="E265" s="183" t="s">
        <v>494</v>
      </c>
      <c r="F265" s="200">
        <f>E266</f>
        <v>0</v>
      </c>
      <c r="G265" s="423">
        <v>0</v>
      </c>
      <c r="H265" s="316"/>
      <c r="I265" s="436">
        <f>ROUND((D265/E265*F265)*G265,2)</f>
        <v>0</v>
      </c>
      <c r="J265" s="316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27" customHeight="1" x14ac:dyDescent="0.2">
      <c r="A266" s="353" t="s">
        <v>629</v>
      </c>
      <c r="B266" s="318"/>
      <c r="C266" s="316"/>
      <c r="D266" s="205" t="s">
        <v>503</v>
      </c>
      <c r="E266" s="428">
        <f>'Qtd postos 40%'!C15</f>
        <v>0</v>
      </c>
      <c r="F266" s="316"/>
      <c r="G266" s="423" t="e">
        <f>J208</f>
        <v>#DIV/0!</v>
      </c>
      <c r="H266" s="316"/>
      <c r="I266" s="436">
        <v>0</v>
      </c>
      <c r="J266" s="316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4.25" customHeight="1" x14ac:dyDescent="0.2">
      <c r="A267" s="429" t="s">
        <v>476</v>
      </c>
      <c r="B267" s="318"/>
      <c r="C267" s="318"/>
      <c r="D267" s="318"/>
      <c r="E267" s="318"/>
      <c r="F267" s="318"/>
      <c r="G267" s="318"/>
      <c r="H267" s="316"/>
      <c r="I267" s="436">
        <f>SUM(I265+I266)</f>
        <v>0</v>
      </c>
      <c r="J267" s="316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4.25" customHeight="1" x14ac:dyDescent="0.2">
      <c r="A268" s="435"/>
      <c r="B268" s="318"/>
      <c r="C268" s="318"/>
      <c r="D268" s="318"/>
      <c r="E268" s="318"/>
      <c r="F268" s="318"/>
      <c r="G268" s="318"/>
      <c r="H268" s="318"/>
      <c r="I268" s="318"/>
      <c r="J268" s="316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4.25" customHeight="1" x14ac:dyDescent="0.2">
      <c r="A269" s="385" t="s">
        <v>507</v>
      </c>
      <c r="B269" s="318"/>
      <c r="C269" s="318"/>
      <c r="D269" s="318"/>
      <c r="E269" s="318"/>
      <c r="F269" s="318"/>
      <c r="G269" s="318"/>
      <c r="H269" s="318"/>
      <c r="I269" s="318"/>
      <c r="J269" s="316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4.25" customHeight="1" x14ac:dyDescent="0.2">
      <c r="A270" s="435"/>
      <c r="B270" s="318"/>
      <c r="C270" s="318"/>
      <c r="D270" s="318"/>
      <c r="E270" s="318"/>
      <c r="F270" s="318"/>
      <c r="G270" s="318"/>
      <c r="H270" s="318"/>
      <c r="I270" s="318"/>
      <c r="J270" s="316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43.5" customHeight="1" x14ac:dyDescent="0.2">
      <c r="A271" s="358" t="s">
        <v>630</v>
      </c>
      <c r="B271" s="318"/>
      <c r="C271" s="318"/>
      <c r="D271" s="318"/>
      <c r="E271" s="318"/>
      <c r="F271" s="318"/>
      <c r="G271" s="318"/>
      <c r="H271" s="318"/>
      <c r="I271" s="318"/>
      <c r="J271" s="316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75" customHeight="1" x14ac:dyDescent="0.2">
      <c r="A272" s="206" t="s">
        <v>631</v>
      </c>
      <c r="B272" s="427" t="s">
        <v>509</v>
      </c>
      <c r="C272" s="318"/>
      <c r="D272" s="316"/>
      <c r="E272" s="207" t="s">
        <v>510</v>
      </c>
      <c r="F272" s="438" t="s">
        <v>511</v>
      </c>
      <c r="G272" s="316"/>
      <c r="H272" s="207" t="s">
        <v>512</v>
      </c>
      <c r="I272" s="207" t="s">
        <v>513</v>
      </c>
      <c r="J272" s="207" t="s">
        <v>514</v>
      </c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75" customHeight="1" x14ac:dyDescent="0.2">
      <c r="A273" s="208" t="s">
        <v>515</v>
      </c>
      <c r="B273" s="209">
        <v>1</v>
      </c>
      <c r="C273" s="210">
        <v>30</v>
      </c>
      <c r="D273" s="211">
        <f>C274</f>
        <v>0</v>
      </c>
      <c r="E273" s="183">
        <v>16</v>
      </c>
      <c r="F273" s="212" t="s">
        <v>503</v>
      </c>
      <c r="G273" s="212" t="s">
        <v>516</v>
      </c>
      <c r="H273" s="213">
        <v>0</v>
      </c>
      <c r="I273" s="141">
        <v>0</v>
      </c>
      <c r="J273" s="141">
        <v>0</v>
      </c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75" customHeight="1" x14ac:dyDescent="0.2">
      <c r="A274" s="208" t="s">
        <v>517</v>
      </c>
      <c r="B274" s="209">
        <v>1</v>
      </c>
      <c r="C274" s="437">
        <f>'Qtd postos 40%'!C16</f>
        <v>0</v>
      </c>
      <c r="D274" s="316"/>
      <c r="E274" s="183">
        <v>16</v>
      </c>
      <c r="F274" s="212" t="s">
        <v>503</v>
      </c>
      <c r="G274" s="212" t="s">
        <v>516</v>
      </c>
      <c r="H274" s="213">
        <v>0</v>
      </c>
      <c r="I274" s="141" t="e">
        <f>J208</f>
        <v>#DIV/0!</v>
      </c>
      <c r="J274" s="141">
        <v>0</v>
      </c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4.25" customHeight="1" x14ac:dyDescent="0.2">
      <c r="A275" s="384" t="s">
        <v>476</v>
      </c>
      <c r="B275" s="318"/>
      <c r="C275" s="318"/>
      <c r="D275" s="318"/>
      <c r="E275" s="318"/>
      <c r="F275" s="318"/>
      <c r="G275" s="318"/>
      <c r="H275" s="318"/>
      <c r="I275" s="316"/>
      <c r="J275" s="141">
        <f>SUM(J273+J274)</f>
        <v>0</v>
      </c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4.25" customHeight="1" x14ac:dyDescent="0.2">
      <c r="A276" s="398"/>
      <c r="B276" s="318"/>
      <c r="C276" s="318"/>
      <c r="D276" s="318"/>
      <c r="E276" s="318"/>
      <c r="F276" s="318"/>
      <c r="G276" s="318"/>
      <c r="H276" s="318"/>
      <c r="I276" s="318"/>
      <c r="J276" s="316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75" customHeight="1" x14ac:dyDescent="0.2">
      <c r="A277" s="208" t="s">
        <v>518</v>
      </c>
      <c r="B277" s="209">
        <v>1</v>
      </c>
      <c r="C277" s="210">
        <v>30</v>
      </c>
      <c r="D277" s="211">
        <f>C278</f>
        <v>0</v>
      </c>
      <c r="E277" s="183">
        <v>16</v>
      </c>
      <c r="F277" s="212" t="s">
        <v>503</v>
      </c>
      <c r="G277" s="212" t="s">
        <v>516</v>
      </c>
      <c r="H277" s="213">
        <v>0</v>
      </c>
      <c r="I277" s="141">
        <v>0</v>
      </c>
      <c r="J277" s="141">
        <v>0</v>
      </c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63" customHeight="1" x14ac:dyDescent="0.2">
      <c r="A278" s="208" t="s">
        <v>519</v>
      </c>
      <c r="B278" s="209">
        <v>1</v>
      </c>
      <c r="C278" s="437">
        <f>'Qtd postos 40%'!C17</f>
        <v>0</v>
      </c>
      <c r="D278" s="316"/>
      <c r="E278" s="183">
        <v>16</v>
      </c>
      <c r="F278" s="212" t="s">
        <v>503</v>
      </c>
      <c r="G278" s="212" t="s">
        <v>516</v>
      </c>
      <c r="H278" s="213">
        <v>0</v>
      </c>
      <c r="I278" s="141" t="e">
        <f>J208</f>
        <v>#DIV/0!</v>
      </c>
      <c r="J278" s="141">
        <v>0</v>
      </c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4.25" customHeight="1" x14ac:dyDescent="0.2">
      <c r="A279" s="429" t="s">
        <v>476</v>
      </c>
      <c r="B279" s="318"/>
      <c r="C279" s="318"/>
      <c r="D279" s="318"/>
      <c r="E279" s="318"/>
      <c r="F279" s="318"/>
      <c r="G279" s="318"/>
      <c r="H279" s="318"/>
      <c r="I279" s="316"/>
      <c r="J279" s="141">
        <f>SUM(J277+J278)</f>
        <v>0</v>
      </c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75" customHeight="1" x14ac:dyDescent="0.2">
      <c r="A280" s="398"/>
      <c r="B280" s="318"/>
      <c r="C280" s="318"/>
      <c r="D280" s="318"/>
      <c r="E280" s="318"/>
      <c r="F280" s="318"/>
      <c r="G280" s="318"/>
      <c r="H280" s="318"/>
      <c r="I280" s="318"/>
      <c r="J280" s="316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75" customHeight="1" x14ac:dyDescent="0.2">
      <c r="A281" s="214" t="s">
        <v>632</v>
      </c>
      <c r="B281" s="209">
        <v>1</v>
      </c>
      <c r="C281" s="210">
        <v>30</v>
      </c>
      <c r="D281" s="211">
        <f>C282</f>
        <v>0</v>
      </c>
      <c r="E281" s="183">
        <v>16</v>
      </c>
      <c r="F281" s="212" t="s">
        <v>503</v>
      </c>
      <c r="G281" s="212" t="s">
        <v>516</v>
      </c>
      <c r="H281" s="213">
        <v>0</v>
      </c>
      <c r="I281" s="141">
        <v>0</v>
      </c>
      <c r="J281" s="141">
        <v>0</v>
      </c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27" customHeight="1" x14ac:dyDescent="0.2">
      <c r="A282" s="214" t="s">
        <v>633</v>
      </c>
      <c r="B282" s="209">
        <v>1</v>
      </c>
      <c r="C282" s="437">
        <f>'Qtd postos 40%'!C18</f>
        <v>0</v>
      </c>
      <c r="D282" s="316"/>
      <c r="E282" s="215">
        <v>16</v>
      </c>
      <c r="F282" s="212" t="s">
        <v>503</v>
      </c>
      <c r="G282" s="212" t="s">
        <v>516</v>
      </c>
      <c r="H282" s="213">
        <v>0</v>
      </c>
      <c r="I282" s="141" t="e">
        <f>J208</f>
        <v>#DIV/0!</v>
      </c>
      <c r="J282" s="141">
        <v>0</v>
      </c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4.25" customHeight="1" x14ac:dyDescent="0.2">
      <c r="A283" s="374" t="s">
        <v>476</v>
      </c>
      <c r="B283" s="318"/>
      <c r="C283" s="318"/>
      <c r="D283" s="318"/>
      <c r="E283" s="318"/>
      <c r="F283" s="318"/>
      <c r="G283" s="318"/>
      <c r="H283" s="318"/>
      <c r="I283" s="316"/>
      <c r="J283" s="216">
        <f>SUM(J281+J282)</f>
        <v>0</v>
      </c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75" customHeight="1" x14ac:dyDescent="0.2">
      <c r="A284" s="398"/>
      <c r="B284" s="318"/>
      <c r="C284" s="318"/>
      <c r="D284" s="318"/>
      <c r="E284" s="318"/>
      <c r="F284" s="318"/>
      <c r="G284" s="318"/>
      <c r="H284" s="318"/>
      <c r="I284" s="318"/>
      <c r="J284" s="316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4.25" customHeight="1" x14ac:dyDescent="0.2">
      <c r="A285" s="385" t="s">
        <v>522</v>
      </c>
      <c r="B285" s="318"/>
      <c r="C285" s="318"/>
      <c r="D285" s="318"/>
      <c r="E285" s="318"/>
      <c r="F285" s="318"/>
      <c r="G285" s="318"/>
      <c r="H285" s="318"/>
      <c r="I285" s="318"/>
      <c r="J285" s="316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4.25" customHeight="1" x14ac:dyDescent="0.2">
      <c r="A286" s="398"/>
      <c r="B286" s="318"/>
      <c r="C286" s="318"/>
      <c r="D286" s="318"/>
      <c r="E286" s="318"/>
      <c r="F286" s="318"/>
      <c r="G286" s="318"/>
      <c r="H286" s="318"/>
      <c r="I286" s="318"/>
      <c r="J286" s="316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4.25" customHeight="1" x14ac:dyDescent="0.2">
      <c r="A287" s="439" t="s">
        <v>523</v>
      </c>
      <c r="B287" s="318"/>
      <c r="C287" s="318"/>
      <c r="D287" s="318"/>
      <c r="E287" s="318"/>
      <c r="F287" s="318"/>
      <c r="G287" s="318"/>
      <c r="H287" s="318"/>
      <c r="I287" s="318"/>
      <c r="J287" s="316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75" customHeight="1" x14ac:dyDescent="0.2">
      <c r="A288" s="206" t="s">
        <v>634</v>
      </c>
      <c r="B288" s="440" t="s">
        <v>525</v>
      </c>
      <c r="C288" s="318"/>
      <c r="D288" s="316"/>
      <c r="E288" s="217" t="s">
        <v>526</v>
      </c>
      <c r="F288" s="441" t="s">
        <v>527</v>
      </c>
      <c r="G288" s="316"/>
      <c r="H288" s="217" t="s">
        <v>528</v>
      </c>
      <c r="I288" s="217" t="s">
        <v>529</v>
      </c>
      <c r="J288" s="217" t="s">
        <v>530</v>
      </c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75" customHeight="1" x14ac:dyDescent="0.2">
      <c r="A289" s="218" t="s">
        <v>635</v>
      </c>
      <c r="B289" s="209">
        <v>1</v>
      </c>
      <c r="C289" s="210">
        <v>4</v>
      </c>
      <c r="D289" s="211">
        <f>C290</f>
        <v>0</v>
      </c>
      <c r="E289" s="209">
        <v>8</v>
      </c>
      <c r="F289" s="183">
        <v>1</v>
      </c>
      <c r="G289" s="219">
        <v>1132.5999999999999</v>
      </c>
      <c r="H289" s="220" t="e">
        <f>ROUND((B289/(C289*D289))*E289*(F289/G289),7)</f>
        <v>#DIV/0!</v>
      </c>
      <c r="I289" s="221">
        <v>0</v>
      </c>
      <c r="J289" s="141">
        <v>0</v>
      </c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75" customHeight="1" x14ac:dyDescent="0.2">
      <c r="A290" s="222" t="s">
        <v>636</v>
      </c>
      <c r="B290" s="209">
        <v>1</v>
      </c>
      <c r="C290" s="437">
        <f>'Qtd postos 40%'!C19</f>
        <v>0</v>
      </c>
      <c r="D290" s="316"/>
      <c r="E290" s="209">
        <v>8</v>
      </c>
      <c r="F290" s="223">
        <v>1</v>
      </c>
      <c r="G290" s="224">
        <v>1132.5999999999999</v>
      </c>
      <c r="H290" s="225" t="e">
        <f>ROUND((B290/C290)*E290*(F290/G290),7)</f>
        <v>#DIV/0!</v>
      </c>
      <c r="I290" s="226" t="e">
        <f>J208</f>
        <v>#DIV/0!</v>
      </c>
      <c r="J290" s="227">
        <v>0</v>
      </c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4.25" customHeight="1" x14ac:dyDescent="0.2">
      <c r="A291" s="374" t="s">
        <v>476</v>
      </c>
      <c r="B291" s="318"/>
      <c r="C291" s="318"/>
      <c r="D291" s="318"/>
      <c r="E291" s="318"/>
      <c r="F291" s="318"/>
      <c r="G291" s="318"/>
      <c r="H291" s="318"/>
      <c r="I291" s="316"/>
      <c r="J291" s="216">
        <f>SUM(J289+J290)</f>
        <v>0</v>
      </c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75" customHeight="1" x14ac:dyDescent="0.2">
      <c r="A292" s="398"/>
      <c r="B292" s="318"/>
      <c r="C292" s="318"/>
      <c r="D292" s="318"/>
      <c r="E292" s="318"/>
      <c r="F292" s="318"/>
      <c r="G292" s="318"/>
      <c r="H292" s="318"/>
      <c r="I292" s="318"/>
      <c r="J292" s="316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4.25" customHeight="1" x14ac:dyDescent="0.2">
      <c r="A293" s="385" t="s">
        <v>533</v>
      </c>
      <c r="B293" s="318"/>
      <c r="C293" s="318"/>
      <c r="D293" s="318"/>
      <c r="E293" s="318"/>
      <c r="F293" s="318"/>
      <c r="G293" s="318"/>
      <c r="H293" s="318"/>
      <c r="I293" s="318"/>
      <c r="J293" s="316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75" customHeight="1" x14ac:dyDescent="0.2">
      <c r="A294" s="398"/>
      <c r="B294" s="318"/>
      <c r="C294" s="318"/>
      <c r="D294" s="318"/>
      <c r="E294" s="318"/>
      <c r="F294" s="318"/>
      <c r="G294" s="318"/>
      <c r="H294" s="318"/>
      <c r="I294" s="318"/>
      <c r="J294" s="316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75" customHeight="1" x14ac:dyDescent="0.2">
      <c r="A295" s="442" t="s">
        <v>534</v>
      </c>
      <c r="B295" s="409"/>
      <c r="C295" s="409"/>
      <c r="D295" s="409"/>
      <c r="E295" s="409"/>
      <c r="F295" s="409"/>
      <c r="G295" s="409"/>
      <c r="H295" s="409"/>
      <c r="I295" s="409"/>
      <c r="J295" s="410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75" customHeight="1" x14ac:dyDescent="0.2">
      <c r="A296" s="413"/>
      <c r="B296" s="414"/>
      <c r="C296" s="414"/>
      <c r="D296" s="414"/>
      <c r="E296" s="414"/>
      <c r="F296" s="414"/>
      <c r="G296" s="414"/>
      <c r="H296" s="414"/>
      <c r="I296" s="414"/>
      <c r="J296" s="415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39" customHeight="1" x14ac:dyDescent="0.2">
      <c r="A297" s="365" t="s">
        <v>535</v>
      </c>
      <c r="B297" s="318"/>
      <c r="C297" s="316"/>
      <c r="D297" s="365" t="s">
        <v>471</v>
      </c>
      <c r="E297" s="318"/>
      <c r="F297" s="316"/>
      <c r="G297" s="365" t="s">
        <v>536</v>
      </c>
      <c r="H297" s="316"/>
      <c r="I297" s="365" t="s">
        <v>473</v>
      </c>
      <c r="J297" s="316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4.25" customHeight="1" x14ac:dyDescent="0.2">
      <c r="A298" s="382" t="s">
        <v>637</v>
      </c>
      <c r="B298" s="318"/>
      <c r="C298" s="316"/>
      <c r="D298" s="199">
        <v>1</v>
      </c>
      <c r="E298" s="199">
        <v>30</v>
      </c>
      <c r="F298" s="228">
        <f>E299</f>
        <v>0</v>
      </c>
      <c r="G298" s="443">
        <v>0</v>
      </c>
      <c r="H298" s="316"/>
      <c r="I298" s="436">
        <v>0</v>
      </c>
      <c r="J298" s="316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4.25" customHeight="1" x14ac:dyDescent="0.2">
      <c r="A299" s="382" t="s">
        <v>638</v>
      </c>
      <c r="B299" s="318"/>
      <c r="C299" s="316"/>
      <c r="D299" s="199">
        <v>1</v>
      </c>
      <c r="E299" s="444">
        <f>'Qtd postos 40%'!C20</f>
        <v>0</v>
      </c>
      <c r="F299" s="316"/>
      <c r="G299" s="443">
        <v>0</v>
      </c>
      <c r="H299" s="316"/>
      <c r="I299" s="436">
        <v>0</v>
      </c>
      <c r="J299" s="316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4.25" customHeight="1" x14ac:dyDescent="0.2">
      <c r="A300" s="374" t="s">
        <v>476</v>
      </c>
      <c r="B300" s="318"/>
      <c r="C300" s="318"/>
      <c r="D300" s="318"/>
      <c r="E300" s="318"/>
      <c r="F300" s="318"/>
      <c r="G300" s="318"/>
      <c r="H300" s="316"/>
      <c r="I300" s="367">
        <f>SUM(I298+I299)</f>
        <v>0</v>
      </c>
      <c r="J300" s="316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4.25" customHeight="1" x14ac:dyDescent="0.2">
      <c r="A301" s="398"/>
      <c r="B301" s="318"/>
      <c r="C301" s="318"/>
      <c r="D301" s="318"/>
      <c r="E301" s="318"/>
      <c r="F301" s="318"/>
      <c r="G301" s="318"/>
      <c r="H301" s="318"/>
      <c r="I301" s="318"/>
      <c r="J301" s="316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4.25" customHeight="1" x14ac:dyDescent="0.2">
      <c r="A302" s="385" t="s">
        <v>539</v>
      </c>
      <c r="B302" s="318"/>
      <c r="C302" s="318"/>
      <c r="D302" s="318"/>
      <c r="E302" s="318"/>
      <c r="F302" s="318"/>
      <c r="G302" s="318"/>
      <c r="H302" s="318"/>
      <c r="I302" s="318"/>
      <c r="J302" s="316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4.25" customHeight="1" x14ac:dyDescent="0.2">
      <c r="A303" s="398"/>
      <c r="B303" s="318"/>
      <c r="C303" s="318"/>
      <c r="D303" s="318"/>
      <c r="E303" s="318"/>
      <c r="F303" s="318"/>
      <c r="G303" s="318"/>
      <c r="H303" s="318"/>
      <c r="I303" s="318"/>
      <c r="J303" s="316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75.75" customHeight="1" x14ac:dyDescent="0.2">
      <c r="A304" s="385" t="s">
        <v>639</v>
      </c>
      <c r="B304" s="318"/>
      <c r="C304" s="318"/>
      <c r="D304" s="318"/>
      <c r="E304" s="318"/>
      <c r="F304" s="318"/>
      <c r="G304" s="318"/>
      <c r="H304" s="318"/>
      <c r="I304" s="318"/>
      <c r="J304" s="316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6.5" customHeight="1" x14ac:dyDescent="0.2">
      <c r="A305" s="407" t="s">
        <v>540</v>
      </c>
      <c r="B305" s="318"/>
      <c r="C305" s="318"/>
      <c r="D305" s="318"/>
      <c r="E305" s="318"/>
      <c r="F305" s="318"/>
      <c r="G305" s="318"/>
      <c r="H305" s="318"/>
      <c r="I305" s="318"/>
      <c r="J305" s="316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27" customHeight="1" x14ac:dyDescent="0.2">
      <c r="A306" s="383" t="s">
        <v>21</v>
      </c>
      <c r="B306" s="318"/>
      <c r="C306" s="318"/>
      <c r="D306" s="318"/>
      <c r="E306" s="316"/>
      <c r="F306" s="365" t="s">
        <v>541</v>
      </c>
      <c r="G306" s="316"/>
      <c r="H306" s="197" t="s">
        <v>542</v>
      </c>
      <c r="I306" s="365" t="s">
        <v>543</v>
      </c>
      <c r="J306" s="316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4.25" customHeight="1" x14ac:dyDescent="0.2">
      <c r="A307" s="402" t="s">
        <v>290</v>
      </c>
      <c r="B307" s="318"/>
      <c r="C307" s="318"/>
      <c r="D307" s="318"/>
      <c r="E307" s="316"/>
      <c r="F307" s="400">
        <f>I215</f>
        <v>0</v>
      </c>
      <c r="G307" s="316"/>
      <c r="H307" s="229">
        <f t="shared" ref="H307:H314" si="5">I13</f>
        <v>0</v>
      </c>
      <c r="I307" s="395">
        <f t="shared" ref="I307:I313" si="6">ROUND(F307*H307,2)</f>
        <v>0</v>
      </c>
      <c r="J307" s="316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4.25" customHeight="1" x14ac:dyDescent="0.2">
      <c r="A308" s="402" t="s">
        <v>292</v>
      </c>
      <c r="B308" s="318"/>
      <c r="C308" s="318"/>
      <c r="D308" s="318"/>
      <c r="E308" s="316"/>
      <c r="F308" s="400">
        <f>I219</f>
        <v>0</v>
      </c>
      <c r="G308" s="316"/>
      <c r="H308" s="229">
        <f t="shared" si="5"/>
        <v>0</v>
      </c>
      <c r="I308" s="395">
        <f t="shared" si="6"/>
        <v>0</v>
      </c>
      <c r="J308" s="316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4.25" customHeight="1" x14ac:dyDescent="0.2">
      <c r="A309" s="402" t="s">
        <v>293</v>
      </c>
      <c r="B309" s="318"/>
      <c r="C309" s="318"/>
      <c r="D309" s="318"/>
      <c r="E309" s="316"/>
      <c r="F309" s="400">
        <f>I223</f>
        <v>0</v>
      </c>
      <c r="G309" s="316"/>
      <c r="H309" s="229">
        <f t="shared" si="5"/>
        <v>0</v>
      </c>
      <c r="I309" s="395">
        <f t="shared" si="6"/>
        <v>0</v>
      </c>
      <c r="J309" s="316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4.25" customHeight="1" x14ac:dyDescent="0.2">
      <c r="A310" s="402" t="s">
        <v>294</v>
      </c>
      <c r="B310" s="318"/>
      <c r="C310" s="318"/>
      <c r="D310" s="318"/>
      <c r="E310" s="316"/>
      <c r="F310" s="400">
        <f>I227</f>
        <v>0</v>
      </c>
      <c r="G310" s="316"/>
      <c r="H310" s="229">
        <f t="shared" si="5"/>
        <v>0</v>
      </c>
      <c r="I310" s="395">
        <f t="shared" si="6"/>
        <v>0</v>
      </c>
      <c r="J310" s="316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4.25" customHeight="1" x14ac:dyDescent="0.2">
      <c r="A311" s="402" t="s">
        <v>640</v>
      </c>
      <c r="B311" s="318"/>
      <c r="C311" s="318"/>
      <c r="D311" s="318"/>
      <c r="E311" s="316"/>
      <c r="F311" s="400">
        <f>I231</f>
        <v>0</v>
      </c>
      <c r="G311" s="316"/>
      <c r="H311" s="229">
        <f t="shared" si="5"/>
        <v>0</v>
      </c>
      <c r="I311" s="395">
        <f t="shared" si="6"/>
        <v>0</v>
      </c>
      <c r="J311" s="316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4.25" customHeight="1" x14ac:dyDescent="0.2">
      <c r="A312" s="394" t="s">
        <v>296</v>
      </c>
      <c r="B312" s="318"/>
      <c r="C312" s="318"/>
      <c r="D312" s="318"/>
      <c r="E312" s="316"/>
      <c r="F312" s="400">
        <f>I235</f>
        <v>0</v>
      </c>
      <c r="G312" s="316"/>
      <c r="H312" s="229">
        <f t="shared" si="5"/>
        <v>0</v>
      </c>
      <c r="I312" s="395">
        <f t="shared" si="6"/>
        <v>0</v>
      </c>
      <c r="J312" s="316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4.25" customHeight="1" x14ac:dyDescent="0.2">
      <c r="A313" s="358" t="s">
        <v>545</v>
      </c>
      <c r="B313" s="318"/>
      <c r="C313" s="318"/>
      <c r="D313" s="318"/>
      <c r="E313" s="316"/>
      <c r="F313" s="321" t="e">
        <f>I239</f>
        <v>#DIV/0!</v>
      </c>
      <c r="G313" s="316"/>
      <c r="H313" s="230">
        <f t="shared" si="5"/>
        <v>739.35</v>
      </c>
      <c r="I313" s="395" t="e">
        <f t="shared" si="6"/>
        <v>#DIV/0!</v>
      </c>
      <c r="J313" s="316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4.25" customHeight="1" x14ac:dyDescent="0.2">
      <c r="A314" s="397" t="s">
        <v>298</v>
      </c>
      <c r="B314" s="318"/>
      <c r="C314" s="318"/>
      <c r="D314" s="318"/>
      <c r="E314" s="318"/>
      <c r="F314" s="318"/>
      <c r="G314" s="316"/>
      <c r="H314" s="231">
        <f t="shared" si="5"/>
        <v>739.35</v>
      </c>
      <c r="I314" s="367" t="e">
        <f>SUM(I307:I313)</f>
        <v>#DIV/0!</v>
      </c>
      <c r="J314" s="316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4.25" customHeight="1" x14ac:dyDescent="0.2">
      <c r="A315" s="398"/>
      <c r="B315" s="318"/>
      <c r="C315" s="318"/>
      <c r="D315" s="318"/>
      <c r="E315" s="318"/>
      <c r="F315" s="318"/>
      <c r="G315" s="318"/>
      <c r="H315" s="318"/>
      <c r="I315" s="318"/>
      <c r="J315" s="316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27" customHeight="1" x14ac:dyDescent="0.2">
      <c r="A316" s="394" t="s">
        <v>299</v>
      </c>
      <c r="B316" s="318"/>
      <c r="C316" s="318"/>
      <c r="D316" s="318"/>
      <c r="E316" s="316"/>
      <c r="F316" s="321">
        <f>I246</f>
        <v>0</v>
      </c>
      <c r="G316" s="316"/>
      <c r="H316" s="169">
        <f t="shared" ref="H316:H322" si="7">J22</f>
        <v>0</v>
      </c>
      <c r="I316" s="395">
        <f t="shared" ref="I316:I321" si="8">ROUND(F316*H316,2)</f>
        <v>0</v>
      </c>
      <c r="J316" s="316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4.25" customHeight="1" x14ac:dyDescent="0.2">
      <c r="A317" s="394" t="s">
        <v>546</v>
      </c>
      <c r="B317" s="318"/>
      <c r="C317" s="318"/>
      <c r="D317" s="318"/>
      <c r="E317" s="316"/>
      <c r="F317" s="321">
        <f>I250</f>
        <v>0</v>
      </c>
      <c r="G317" s="316"/>
      <c r="H317" s="169">
        <f t="shared" si="7"/>
        <v>0</v>
      </c>
      <c r="I317" s="395">
        <f t="shared" si="8"/>
        <v>0</v>
      </c>
      <c r="J317" s="316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4.25" customHeight="1" x14ac:dyDescent="0.2">
      <c r="A318" s="394" t="s">
        <v>547</v>
      </c>
      <c r="B318" s="318"/>
      <c r="C318" s="318"/>
      <c r="D318" s="318"/>
      <c r="E318" s="316"/>
      <c r="F318" s="321">
        <f>I254</f>
        <v>0</v>
      </c>
      <c r="G318" s="316"/>
      <c r="H318" s="169">
        <f t="shared" si="7"/>
        <v>0</v>
      </c>
      <c r="I318" s="395">
        <f t="shared" si="8"/>
        <v>0</v>
      </c>
      <c r="J318" s="316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4.25" customHeight="1" x14ac:dyDescent="0.2">
      <c r="A319" s="394" t="s">
        <v>548</v>
      </c>
      <c r="B319" s="318"/>
      <c r="C319" s="318"/>
      <c r="D319" s="318"/>
      <c r="E319" s="316"/>
      <c r="F319" s="321">
        <f>I258</f>
        <v>0</v>
      </c>
      <c r="G319" s="316"/>
      <c r="H319" s="169">
        <f t="shared" si="7"/>
        <v>0</v>
      </c>
      <c r="I319" s="395">
        <f t="shared" si="8"/>
        <v>0</v>
      </c>
      <c r="J319" s="316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4.25" customHeight="1" x14ac:dyDescent="0.2">
      <c r="A320" s="394" t="s">
        <v>549</v>
      </c>
      <c r="B320" s="318"/>
      <c r="C320" s="318"/>
      <c r="D320" s="318"/>
      <c r="E320" s="316"/>
      <c r="F320" s="321">
        <f>I262</f>
        <v>0</v>
      </c>
      <c r="G320" s="316"/>
      <c r="H320" s="169">
        <f t="shared" si="7"/>
        <v>0</v>
      </c>
      <c r="I320" s="395">
        <f t="shared" si="8"/>
        <v>0</v>
      </c>
      <c r="J320" s="316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25.5" customHeight="1" x14ac:dyDescent="0.2">
      <c r="A321" s="396" t="s">
        <v>550</v>
      </c>
      <c r="B321" s="318"/>
      <c r="C321" s="318"/>
      <c r="D321" s="318"/>
      <c r="E321" s="316"/>
      <c r="F321" s="321">
        <f>I266</f>
        <v>0</v>
      </c>
      <c r="G321" s="316"/>
      <c r="H321" s="169">
        <f t="shared" si="7"/>
        <v>0</v>
      </c>
      <c r="I321" s="395">
        <f t="shared" si="8"/>
        <v>0</v>
      </c>
      <c r="J321" s="316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4.25" customHeight="1" x14ac:dyDescent="0.2">
      <c r="A322" s="397" t="s">
        <v>305</v>
      </c>
      <c r="B322" s="318"/>
      <c r="C322" s="318"/>
      <c r="D322" s="318"/>
      <c r="E322" s="318"/>
      <c r="F322" s="318"/>
      <c r="G322" s="316"/>
      <c r="H322" s="232">
        <f t="shared" si="7"/>
        <v>0</v>
      </c>
      <c r="I322" s="367">
        <f>SUM(I316:I321)</f>
        <v>0</v>
      </c>
      <c r="J322" s="316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4.25" customHeight="1" x14ac:dyDescent="0.2">
      <c r="A323" s="398"/>
      <c r="B323" s="318"/>
      <c r="C323" s="318"/>
      <c r="D323" s="318"/>
      <c r="E323" s="318"/>
      <c r="F323" s="318"/>
      <c r="G323" s="318"/>
      <c r="H323" s="318"/>
      <c r="I323" s="318"/>
      <c r="J323" s="316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27" customHeight="1" x14ac:dyDescent="0.2">
      <c r="A324" s="394" t="s">
        <v>306</v>
      </c>
      <c r="B324" s="318"/>
      <c r="C324" s="318"/>
      <c r="D324" s="318"/>
      <c r="E324" s="316"/>
      <c r="F324" s="321">
        <f>J274</f>
        <v>0</v>
      </c>
      <c r="G324" s="316"/>
      <c r="H324" s="230">
        <f t="shared" ref="H324:H327" si="9">J30</f>
        <v>0</v>
      </c>
      <c r="I324" s="395">
        <f>ROUND(F324*H324,2)</f>
        <v>0</v>
      </c>
      <c r="J324" s="316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4.25" customHeight="1" x14ac:dyDescent="0.2">
      <c r="A325" s="394" t="s">
        <v>551</v>
      </c>
      <c r="B325" s="318"/>
      <c r="C325" s="318"/>
      <c r="D325" s="318"/>
      <c r="E325" s="316"/>
      <c r="F325" s="321">
        <f>J278</f>
        <v>0</v>
      </c>
      <c r="G325" s="316"/>
      <c r="H325" s="230">
        <f t="shared" si="9"/>
        <v>0</v>
      </c>
      <c r="I325" s="395">
        <f t="shared" ref="I325:I326" si="10">ROUND((F325*H325),2)</f>
        <v>0</v>
      </c>
      <c r="J325" s="316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4.25" customHeight="1" x14ac:dyDescent="0.2">
      <c r="A326" s="394" t="s">
        <v>552</v>
      </c>
      <c r="B326" s="318"/>
      <c r="C326" s="318"/>
      <c r="D326" s="318"/>
      <c r="E326" s="316"/>
      <c r="F326" s="321">
        <f>J282</f>
        <v>0</v>
      </c>
      <c r="G326" s="316"/>
      <c r="H326" s="230">
        <f t="shared" si="9"/>
        <v>0</v>
      </c>
      <c r="I326" s="395">
        <f t="shared" si="10"/>
        <v>0</v>
      </c>
      <c r="J326" s="316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4.25" customHeight="1" x14ac:dyDescent="0.2">
      <c r="A327" s="397" t="s">
        <v>553</v>
      </c>
      <c r="B327" s="318"/>
      <c r="C327" s="318"/>
      <c r="D327" s="318"/>
      <c r="E327" s="318"/>
      <c r="F327" s="318"/>
      <c r="G327" s="316"/>
      <c r="H327" s="231">
        <f t="shared" si="9"/>
        <v>0</v>
      </c>
      <c r="I327" s="367">
        <f>SUM(I324:I326)</f>
        <v>0</v>
      </c>
      <c r="J327" s="316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4.25" customHeight="1" x14ac:dyDescent="0.2">
      <c r="A328" s="398"/>
      <c r="B328" s="318"/>
      <c r="C328" s="318"/>
      <c r="D328" s="318"/>
      <c r="E328" s="318"/>
      <c r="F328" s="318"/>
      <c r="G328" s="318"/>
      <c r="H328" s="318"/>
      <c r="I328" s="318"/>
      <c r="J328" s="316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4.25" customHeight="1" x14ac:dyDescent="0.2">
      <c r="A329" s="358" t="s">
        <v>554</v>
      </c>
      <c r="B329" s="318"/>
      <c r="C329" s="318"/>
      <c r="D329" s="318"/>
      <c r="E329" s="316"/>
      <c r="F329" s="400">
        <f>J290</f>
        <v>0</v>
      </c>
      <c r="G329" s="316"/>
      <c r="H329" s="233">
        <f>J36</f>
        <v>0</v>
      </c>
      <c r="I329" s="401">
        <f>ROUND(F329*H329,2)</f>
        <v>0</v>
      </c>
      <c r="J329" s="316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4.25" customHeight="1" x14ac:dyDescent="0.2">
      <c r="A330" s="397" t="s">
        <v>555</v>
      </c>
      <c r="B330" s="318"/>
      <c r="C330" s="318"/>
      <c r="D330" s="318"/>
      <c r="E330" s="318"/>
      <c r="F330" s="318"/>
      <c r="G330" s="316"/>
      <c r="H330" s="231">
        <f t="shared" ref="H330:I330" si="11">H329</f>
        <v>0</v>
      </c>
      <c r="I330" s="367">
        <f t="shared" si="11"/>
        <v>0</v>
      </c>
      <c r="J330" s="316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4.25" customHeight="1" x14ac:dyDescent="0.2">
      <c r="A331" s="398"/>
      <c r="B331" s="318"/>
      <c r="C331" s="318"/>
      <c r="D331" s="318"/>
      <c r="E331" s="318"/>
      <c r="F331" s="318"/>
      <c r="G331" s="318"/>
      <c r="H331" s="318"/>
      <c r="I331" s="318"/>
      <c r="J331" s="316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75" customHeight="1" x14ac:dyDescent="0.2">
      <c r="A332" s="402" t="s">
        <v>312</v>
      </c>
      <c r="B332" s="318"/>
      <c r="C332" s="318"/>
      <c r="D332" s="318"/>
      <c r="E332" s="316"/>
      <c r="F332" s="399"/>
      <c r="G332" s="316"/>
      <c r="H332" s="229">
        <v>0</v>
      </c>
      <c r="I332" s="395">
        <v>0</v>
      </c>
      <c r="J332" s="316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4.25" customHeight="1" x14ac:dyDescent="0.2">
      <c r="A333" s="403" t="s">
        <v>556</v>
      </c>
      <c r="B333" s="318"/>
      <c r="C333" s="318"/>
      <c r="D333" s="318"/>
      <c r="E333" s="318"/>
      <c r="F333" s="318"/>
      <c r="G333" s="316"/>
      <c r="H333" s="233">
        <f>J37</f>
        <v>0</v>
      </c>
      <c r="I333" s="401">
        <f>J332</f>
        <v>0</v>
      </c>
      <c r="J333" s="316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75" customHeight="1" x14ac:dyDescent="0.2">
      <c r="A334" s="398"/>
      <c r="B334" s="318"/>
      <c r="C334" s="318"/>
      <c r="D334" s="318"/>
      <c r="E334" s="318"/>
      <c r="F334" s="318"/>
      <c r="G334" s="318"/>
      <c r="H334" s="318"/>
      <c r="I334" s="318"/>
      <c r="J334" s="316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4.25" customHeight="1" x14ac:dyDescent="0.2">
      <c r="A335" s="394" t="s">
        <v>314</v>
      </c>
      <c r="B335" s="318"/>
      <c r="C335" s="318"/>
      <c r="D335" s="318"/>
      <c r="E335" s="318"/>
      <c r="F335" s="318"/>
      <c r="G335" s="316"/>
      <c r="H335" s="229">
        <f>J39</f>
        <v>0</v>
      </c>
      <c r="I335" s="395">
        <f>J335</f>
        <v>0</v>
      </c>
      <c r="J335" s="316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4.25" customHeight="1" x14ac:dyDescent="0.2">
      <c r="A336" s="403" t="s">
        <v>315</v>
      </c>
      <c r="B336" s="318"/>
      <c r="C336" s="318"/>
      <c r="D336" s="318"/>
      <c r="E336" s="318"/>
      <c r="F336" s="318"/>
      <c r="G336" s="316"/>
      <c r="H336" s="233">
        <v>0</v>
      </c>
      <c r="I336" s="401">
        <f>I335</f>
        <v>0</v>
      </c>
      <c r="J336" s="316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4.25" customHeight="1" x14ac:dyDescent="0.2">
      <c r="A337" s="398"/>
      <c r="B337" s="318"/>
      <c r="C337" s="318"/>
      <c r="D337" s="318"/>
      <c r="E337" s="318"/>
      <c r="F337" s="318"/>
      <c r="G337" s="318"/>
      <c r="H337" s="318"/>
      <c r="I337" s="318"/>
      <c r="J337" s="316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4.25" customHeight="1" x14ac:dyDescent="0.2">
      <c r="A338" s="403" t="s">
        <v>476</v>
      </c>
      <c r="B338" s="318"/>
      <c r="C338" s="318"/>
      <c r="D338" s="318"/>
      <c r="E338" s="318"/>
      <c r="F338" s="318"/>
      <c r="G338" s="316"/>
      <c r="H338" s="233">
        <f>ROUND(H314+H322+H327+H330+H333+H336,2)</f>
        <v>739.35</v>
      </c>
      <c r="I338" s="401" t="e">
        <f>SUM(I314+I322+I327+I330+I333+I336)</f>
        <v>#DIV/0!</v>
      </c>
      <c r="J338" s="316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75" customHeight="1" x14ac:dyDescent="0.2">
      <c r="A339" s="398"/>
      <c r="B339" s="318"/>
      <c r="C339" s="318"/>
      <c r="D339" s="318"/>
      <c r="E339" s="318"/>
      <c r="F339" s="318"/>
      <c r="G339" s="318"/>
      <c r="H339" s="318"/>
      <c r="I339" s="318"/>
      <c r="J339" s="316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9.5" customHeight="1" x14ac:dyDescent="0.2">
      <c r="A340" s="404" t="s">
        <v>557</v>
      </c>
      <c r="B340" s="318"/>
      <c r="C340" s="318"/>
      <c r="D340" s="318"/>
      <c r="E340" s="318"/>
      <c r="F340" s="318"/>
      <c r="G340" s="318"/>
      <c r="H340" s="316"/>
      <c r="I340" s="405" t="e">
        <f>I338</f>
        <v>#DIV/0!</v>
      </c>
      <c r="J340" s="316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75" customHeight="1" x14ac:dyDescent="0.2">
      <c r="A341" s="398"/>
      <c r="B341" s="318"/>
      <c r="C341" s="318"/>
      <c r="D341" s="318"/>
      <c r="E341" s="318"/>
      <c r="F341" s="318"/>
      <c r="G341" s="318"/>
      <c r="H341" s="318"/>
      <c r="I341" s="318"/>
      <c r="J341" s="316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9.5" customHeight="1" x14ac:dyDescent="0.2">
      <c r="A342" s="404" t="s">
        <v>558</v>
      </c>
      <c r="B342" s="318"/>
      <c r="C342" s="318"/>
      <c r="D342" s="318"/>
      <c r="E342" s="318"/>
      <c r="F342" s="318"/>
      <c r="G342" s="318"/>
      <c r="H342" s="316"/>
      <c r="I342" s="405">
        <f>H10</f>
        <v>20</v>
      </c>
      <c r="J342" s="316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75" customHeight="1" x14ac:dyDescent="0.2">
      <c r="A343" s="398"/>
      <c r="B343" s="318"/>
      <c r="C343" s="318"/>
      <c r="D343" s="318"/>
      <c r="E343" s="318"/>
      <c r="F343" s="318"/>
      <c r="G343" s="318"/>
      <c r="H343" s="318"/>
      <c r="I343" s="318"/>
      <c r="J343" s="316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9.5" customHeight="1" x14ac:dyDescent="0.2">
      <c r="A344" s="404" t="s">
        <v>641</v>
      </c>
      <c r="B344" s="318"/>
      <c r="C344" s="318"/>
      <c r="D344" s="318"/>
      <c r="E344" s="318"/>
      <c r="F344" s="318"/>
      <c r="G344" s="318"/>
      <c r="H344" s="316"/>
      <c r="I344" s="405" t="e">
        <f>ROUND(I338*I342,2)</f>
        <v>#DIV/0!</v>
      </c>
      <c r="J344" s="316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75" customHeight="1" x14ac:dyDescent="0.2">
      <c r="A345" s="398"/>
      <c r="B345" s="318"/>
      <c r="C345" s="318"/>
      <c r="D345" s="318"/>
      <c r="E345" s="318"/>
      <c r="F345" s="318"/>
      <c r="G345" s="318"/>
      <c r="H345" s="318"/>
      <c r="I345" s="318"/>
      <c r="J345" s="316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4.25" customHeight="1" x14ac:dyDescent="0.2">
      <c r="A346" s="358" t="s">
        <v>642</v>
      </c>
      <c r="B346" s="318"/>
      <c r="C346" s="318"/>
      <c r="D346" s="318"/>
      <c r="E346" s="318"/>
      <c r="F346" s="318"/>
      <c r="G346" s="318"/>
      <c r="H346" s="318"/>
      <c r="I346" s="318"/>
      <c r="J346" s="316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75" customHeight="1" x14ac:dyDescent="0.2">
      <c r="A347" s="383" t="s">
        <v>561</v>
      </c>
      <c r="B347" s="318"/>
      <c r="C347" s="318"/>
      <c r="D347" s="318"/>
      <c r="E347" s="318"/>
      <c r="F347" s="316"/>
      <c r="G347" s="383" t="s">
        <v>562</v>
      </c>
      <c r="H347" s="318"/>
      <c r="I347" s="318"/>
      <c r="J347" s="316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75" customHeight="1" x14ac:dyDescent="0.2">
      <c r="A348" s="382" t="s">
        <v>563</v>
      </c>
      <c r="B348" s="318"/>
      <c r="C348" s="318"/>
      <c r="D348" s="318"/>
      <c r="E348" s="318"/>
      <c r="F348" s="316"/>
      <c r="G348" s="369">
        <v>4</v>
      </c>
      <c r="H348" s="318"/>
      <c r="I348" s="318"/>
      <c r="J348" s="316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75" customHeight="1" x14ac:dyDescent="0.2">
      <c r="A349" s="382" t="s">
        <v>564</v>
      </c>
      <c r="B349" s="318"/>
      <c r="C349" s="318"/>
      <c r="D349" s="318"/>
      <c r="E349" s="318"/>
      <c r="F349" s="316"/>
      <c r="G349" s="369"/>
      <c r="H349" s="318"/>
      <c r="I349" s="318"/>
      <c r="J349" s="316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75" customHeight="1" x14ac:dyDescent="0.2">
      <c r="A350" s="398"/>
      <c r="B350" s="318"/>
      <c r="C350" s="318"/>
      <c r="D350" s="318"/>
      <c r="E350" s="318"/>
      <c r="F350" s="318"/>
      <c r="G350" s="318"/>
      <c r="H350" s="318"/>
      <c r="I350" s="318"/>
      <c r="J350" s="316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27" customHeight="1" x14ac:dyDescent="0.2">
      <c r="A351" s="358" t="s">
        <v>643</v>
      </c>
      <c r="B351" s="318"/>
      <c r="C351" s="318"/>
      <c r="D351" s="318"/>
      <c r="E351" s="318"/>
      <c r="F351" s="318"/>
      <c r="G351" s="318"/>
      <c r="H351" s="318"/>
      <c r="I351" s="318"/>
      <c r="J351" s="316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4.25" customHeight="1" x14ac:dyDescent="0.2">
      <c r="A352" s="365" t="s">
        <v>566</v>
      </c>
      <c r="B352" s="318"/>
      <c r="C352" s="318"/>
      <c r="D352" s="318"/>
      <c r="E352" s="318"/>
      <c r="F352" s="318"/>
      <c r="G352" s="318"/>
      <c r="H352" s="318"/>
      <c r="I352" s="316"/>
      <c r="J352" s="197" t="s">
        <v>567</v>
      </c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75" customHeight="1" x14ac:dyDescent="0.2">
      <c r="A353" s="406" t="s">
        <v>568</v>
      </c>
      <c r="B353" s="318"/>
      <c r="C353" s="318"/>
      <c r="D353" s="318"/>
      <c r="E353" s="318"/>
      <c r="F353" s="318"/>
      <c r="G353" s="318"/>
      <c r="H353" s="318"/>
      <c r="I353" s="316"/>
      <c r="J353" s="138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75" customHeight="1" x14ac:dyDescent="0.2">
      <c r="A354" s="402"/>
      <c r="B354" s="318"/>
      <c r="C354" s="318"/>
      <c r="D354" s="318"/>
      <c r="E354" s="318"/>
      <c r="F354" s="318"/>
      <c r="G354" s="318"/>
      <c r="H354" s="318"/>
      <c r="I354" s="316"/>
      <c r="J354" s="138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75" customHeight="1" x14ac:dyDescent="0.2">
      <c r="A355" s="394"/>
      <c r="B355" s="318"/>
      <c r="C355" s="318"/>
      <c r="D355" s="318"/>
      <c r="E355" s="318"/>
      <c r="F355" s="318"/>
      <c r="G355" s="318"/>
      <c r="H355" s="318"/>
      <c r="I355" s="316"/>
      <c r="J355" s="138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2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2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2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2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2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2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2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2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2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2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2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2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2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2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2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2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2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2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2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2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2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2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2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2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2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2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2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2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2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2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2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2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2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2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2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2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2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2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2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2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2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2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2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2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2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2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2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2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2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540">
    <mergeCell ref="A299:C299"/>
    <mergeCell ref="E299:F299"/>
    <mergeCell ref="G299:H299"/>
    <mergeCell ref="I299:J299"/>
    <mergeCell ref="A300:H300"/>
    <mergeCell ref="I300:J300"/>
    <mergeCell ref="I318:J318"/>
    <mergeCell ref="I319:J319"/>
    <mergeCell ref="A317:E317"/>
    <mergeCell ref="F317:G317"/>
    <mergeCell ref="I317:J317"/>
    <mergeCell ref="A318:E318"/>
    <mergeCell ref="F318:G318"/>
    <mergeCell ref="A319:E319"/>
    <mergeCell ref="F319:G319"/>
    <mergeCell ref="A292:J292"/>
    <mergeCell ref="A293:J293"/>
    <mergeCell ref="A294:J294"/>
    <mergeCell ref="A295:J296"/>
    <mergeCell ref="A297:C297"/>
    <mergeCell ref="D297:F297"/>
    <mergeCell ref="G297:H297"/>
    <mergeCell ref="I297:J297"/>
    <mergeCell ref="G298:H298"/>
    <mergeCell ref="I298:J298"/>
    <mergeCell ref="A298:C298"/>
    <mergeCell ref="A283:I283"/>
    <mergeCell ref="A284:J284"/>
    <mergeCell ref="A285:J285"/>
    <mergeCell ref="A286:J286"/>
    <mergeCell ref="A287:J287"/>
    <mergeCell ref="B288:D288"/>
    <mergeCell ref="F288:G288"/>
    <mergeCell ref="C290:D290"/>
    <mergeCell ref="A291:I291"/>
    <mergeCell ref="A267:H267"/>
    <mergeCell ref="I267:J267"/>
    <mergeCell ref="A268:J268"/>
    <mergeCell ref="C274:D274"/>
    <mergeCell ref="C278:D278"/>
    <mergeCell ref="C282:D282"/>
    <mergeCell ref="A269:J269"/>
    <mergeCell ref="A270:J270"/>
    <mergeCell ref="A271:J271"/>
    <mergeCell ref="B272:D272"/>
    <mergeCell ref="F272:G272"/>
    <mergeCell ref="A275:I275"/>
    <mergeCell ref="A276:J276"/>
    <mergeCell ref="A279:I279"/>
    <mergeCell ref="A280:J280"/>
    <mergeCell ref="A263:H263"/>
    <mergeCell ref="I263:J263"/>
    <mergeCell ref="A264:J264"/>
    <mergeCell ref="A265:C265"/>
    <mergeCell ref="G265:H265"/>
    <mergeCell ref="I265:J265"/>
    <mergeCell ref="A266:C266"/>
    <mergeCell ref="E266:F266"/>
    <mergeCell ref="G266:H266"/>
    <mergeCell ref="I266:J266"/>
    <mergeCell ref="A256:J256"/>
    <mergeCell ref="A257:C257"/>
    <mergeCell ref="G257:H257"/>
    <mergeCell ref="I257:J257"/>
    <mergeCell ref="A258:C258"/>
    <mergeCell ref="E258:F258"/>
    <mergeCell ref="G258:H258"/>
    <mergeCell ref="I258:J258"/>
    <mergeCell ref="E262:F262"/>
    <mergeCell ref="G262:H262"/>
    <mergeCell ref="A259:H259"/>
    <mergeCell ref="I259:J259"/>
    <mergeCell ref="A260:J260"/>
    <mergeCell ref="A261:C261"/>
    <mergeCell ref="G261:H261"/>
    <mergeCell ref="I261:J261"/>
    <mergeCell ref="I262:J262"/>
    <mergeCell ref="A262:C262"/>
    <mergeCell ref="A252:J252"/>
    <mergeCell ref="A253:C253"/>
    <mergeCell ref="G253:H253"/>
    <mergeCell ref="I253:J253"/>
    <mergeCell ref="A254:C254"/>
    <mergeCell ref="E254:F254"/>
    <mergeCell ref="G254:H254"/>
    <mergeCell ref="I254:J254"/>
    <mergeCell ref="A255:H255"/>
    <mergeCell ref="I255:J255"/>
    <mergeCell ref="I247:J247"/>
    <mergeCell ref="A248:J248"/>
    <mergeCell ref="G249:H249"/>
    <mergeCell ref="I249:J249"/>
    <mergeCell ref="E250:F250"/>
    <mergeCell ref="I250:J250"/>
    <mergeCell ref="G250:H250"/>
    <mergeCell ref="A251:H251"/>
    <mergeCell ref="I251:J251"/>
    <mergeCell ref="A238:C238"/>
    <mergeCell ref="E238:F238"/>
    <mergeCell ref="G238:H238"/>
    <mergeCell ref="I238:J238"/>
    <mergeCell ref="A244:C244"/>
    <mergeCell ref="A245:C245"/>
    <mergeCell ref="A246:C246"/>
    <mergeCell ref="A249:C249"/>
    <mergeCell ref="A250:C250"/>
    <mergeCell ref="A239:H239"/>
    <mergeCell ref="I239:J239"/>
    <mergeCell ref="A240:J240"/>
    <mergeCell ref="A241:J241"/>
    <mergeCell ref="A242:J242"/>
    <mergeCell ref="A243:J243"/>
    <mergeCell ref="I244:J244"/>
    <mergeCell ref="D244:F244"/>
    <mergeCell ref="G244:H244"/>
    <mergeCell ref="G245:H245"/>
    <mergeCell ref="I245:J245"/>
    <mergeCell ref="E246:F246"/>
    <mergeCell ref="G246:H246"/>
    <mergeCell ref="I246:J246"/>
    <mergeCell ref="A247:H247"/>
    <mergeCell ref="A234:C234"/>
    <mergeCell ref="E234:F234"/>
    <mergeCell ref="G234:H234"/>
    <mergeCell ref="I234:J234"/>
    <mergeCell ref="A235:H235"/>
    <mergeCell ref="I235:J235"/>
    <mergeCell ref="A236:J236"/>
    <mergeCell ref="A237:C237"/>
    <mergeCell ref="G237:H237"/>
    <mergeCell ref="I237:J237"/>
    <mergeCell ref="E230:F230"/>
    <mergeCell ref="I230:J230"/>
    <mergeCell ref="G230:H230"/>
    <mergeCell ref="A231:H231"/>
    <mergeCell ref="I231:J231"/>
    <mergeCell ref="A232:J232"/>
    <mergeCell ref="A233:C233"/>
    <mergeCell ref="G233:H233"/>
    <mergeCell ref="I233:J233"/>
    <mergeCell ref="A230:C230"/>
    <mergeCell ref="A217:C217"/>
    <mergeCell ref="E218:F218"/>
    <mergeCell ref="G218:H218"/>
    <mergeCell ref="I218:J218"/>
    <mergeCell ref="A219:H219"/>
    <mergeCell ref="I219:J219"/>
    <mergeCell ref="A220:J220"/>
    <mergeCell ref="G222:H222"/>
    <mergeCell ref="G225:H225"/>
    <mergeCell ref="I225:J225"/>
    <mergeCell ref="E226:F226"/>
    <mergeCell ref="G226:H226"/>
    <mergeCell ref="I226:J226"/>
    <mergeCell ref="G221:H221"/>
    <mergeCell ref="I221:J221"/>
    <mergeCell ref="E222:F222"/>
    <mergeCell ref="I222:J222"/>
    <mergeCell ref="A223:H223"/>
    <mergeCell ref="I223:J223"/>
    <mergeCell ref="A224:J224"/>
    <mergeCell ref="A227:H227"/>
    <mergeCell ref="I227:J227"/>
    <mergeCell ref="A228:J228"/>
    <mergeCell ref="A216:J216"/>
    <mergeCell ref="G217:H217"/>
    <mergeCell ref="I217:J217"/>
    <mergeCell ref="A218:C218"/>
    <mergeCell ref="A221:C221"/>
    <mergeCell ref="A222:C222"/>
    <mergeCell ref="A225:C225"/>
    <mergeCell ref="A226:C226"/>
    <mergeCell ref="A229:C229"/>
    <mergeCell ref="G229:H229"/>
    <mergeCell ref="I229:J229"/>
    <mergeCell ref="A206:I206"/>
    <mergeCell ref="B207:I207"/>
    <mergeCell ref="A208:I208"/>
    <mergeCell ref="G212:H212"/>
    <mergeCell ref="G213:H213"/>
    <mergeCell ref="G214:H214"/>
    <mergeCell ref="I214:J214"/>
    <mergeCell ref="I215:J215"/>
    <mergeCell ref="A209:J209"/>
    <mergeCell ref="A210:J210"/>
    <mergeCell ref="A211:J211"/>
    <mergeCell ref="A212:C212"/>
    <mergeCell ref="D212:F212"/>
    <mergeCell ref="I212:J212"/>
    <mergeCell ref="I213:J213"/>
    <mergeCell ref="A213:C213"/>
    <mergeCell ref="A214:C214"/>
    <mergeCell ref="E214:F214"/>
    <mergeCell ref="A215:H215"/>
    <mergeCell ref="B184:H184"/>
    <mergeCell ref="B185:H185"/>
    <mergeCell ref="B186:H186"/>
    <mergeCell ref="B187:H187"/>
    <mergeCell ref="B188:H188"/>
    <mergeCell ref="B202:I202"/>
    <mergeCell ref="B203:I203"/>
    <mergeCell ref="B204:I204"/>
    <mergeCell ref="B205:I205"/>
    <mergeCell ref="A176:H176"/>
    <mergeCell ref="B177:H177"/>
    <mergeCell ref="A178:H178"/>
    <mergeCell ref="B179:H179"/>
    <mergeCell ref="A180:H180"/>
    <mergeCell ref="B181:H181"/>
    <mergeCell ref="L181:M181"/>
    <mergeCell ref="B182:H182"/>
    <mergeCell ref="B183:H183"/>
    <mergeCell ref="B167:I167"/>
    <mergeCell ref="B168:I168"/>
    <mergeCell ref="B169:I169"/>
    <mergeCell ref="A170:I170"/>
    <mergeCell ref="A171:J171"/>
    <mergeCell ref="A172:J172"/>
    <mergeCell ref="A173:J173"/>
    <mergeCell ref="A174:J174"/>
    <mergeCell ref="B175:H175"/>
    <mergeCell ref="A197:J197"/>
    <mergeCell ref="A198:J198"/>
    <mergeCell ref="A199:J199"/>
    <mergeCell ref="A200:I200"/>
    <mergeCell ref="B201:I201"/>
    <mergeCell ref="A148:J148"/>
    <mergeCell ref="A149:J149"/>
    <mergeCell ref="B150:I150"/>
    <mergeCell ref="B151:I151"/>
    <mergeCell ref="A152:I152"/>
    <mergeCell ref="B153:I153"/>
    <mergeCell ref="A154:I154"/>
    <mergeCell ref="A155:J155"/>
    <mergeCell ref="A156:J156"/>
    <mergeCell ref="A157:J157"/>
    <mergeCell ref="A158:J158"/>
    <mergeCell ref="B159:I159"/>
    <mergeCell ref="B160:I160"/>
    <mergeCell ref="B161:I161"/>
    <mergeCell ref="A162:I162"/>
    <mergeCell ref="A163:J163"/>
    <mergeCell ref="A164:J164"/>
    <mergeCell ref="B165:I165"/>
    <mergeCell ref="B166:I166"/>
    <mergeCell ref="B189:H189"/>
    <mergeCell ref="A190:I190"/>
    <mergeCell ref="A191:J191"/>
    <mergeCell ref="A192:H192"/>
    <mergeCell ref="A193:C195"/>
    <mergeCell ref="D193:J193"/>
    <mergeCell ref="D194:J194"/>
    <mergeCell ref="D195:J195"/>
    <mergeCell ref="A196:J196"/>
    <mergeCell ref="F316:G316"/>
    <mergeCell ref="I316:J316"/>
    <mergeCell ref="A312:E312"/>
    <mergeCell ref="F312:G312"/>
    <mergeCell ref="A313:E313"/>
    <mergeCell ref="F313:G313"/>
    <mergeCell ref="A314:G314"/>
    <mergeCell ref="A315:J315"/>
    <mergeCell ref="A316:E316"/>
    <mergeCell ref="I308:J308"/>
    <mergeCell ref="I310:J310"/>
    <mergeCell ref="I311:J311"/>
    <mergeCell ref="I312:J312"/>
    <mergeCell ref="I313:J313"/>
    <mergeCell ref="I314:J314"/>
    <mergeCell ref="A309:E309"/>
    <mergeCell ref="F309:G309"/>
    <mergeCell ref="I309:J309"/>
    <mergeCell ref="A310:E310"/>
    <mergeCell ref="F310:G310"/>
    <mergeCell ref="A311:E311"/>
    <mergeCell ref="F311:G311"/>
    <mergeCell ref="A345:J345"/>
    <mergeCell ref="A346:J346"/>
    <mergeCell ref="A351:J351"/>
    <mergeCell ref="A352:I352"/>
    <mergeCell ref="A353:I353"/>
    <mergeCell ref="A354:I354"/>
    <mergeCell ref="A355:I355"/>
    <mergeCell ref="A347:F347"/>
    <mergeCell ref="G347:J347"/>
    <mergeCell ref="A348:F348"/>
    <mergeCell ref="G348:J348"/>
    <mergeCell ref="A349:F349"/>
    <mergeCell ref="G349:J349"/>
    <mergeCell ref="A350:J350"/>
    <mergeCell ref="A339:J339"/>
    <mergeCell ref="A340:H340"/>
    <mergeCell ref="I340:J340"/>
    <mergeCell ref="A341:J341"/>
    <mergeCell ref="A342:H342"/>
    <mergeCell ref="I342:J342"/>
    <mergeCell ref="A343:J343"/>
    <mergeCell ref="A344:H344"/>
    <mergeCell ref="I344:J344"/>
    <mergeCell ref="A333:G333"/>
    <mergeCell ref="I333:J333"/>
    <mergeCell ref="A334:J334"/>
    <mergeCell ref="A335:G335"/>
    <mergeCell ref="I335:J335"/>
    <mergeCell ref="A336:G336"/>
    <mergeCell ref="I336:J336"/>
    <mergeCell ref="A337:J337"/>
    <mergeCell ref="A338:G338"/>
    <mergeCell ref="I338:J338"/>
    <mergeCell ref="I322:J322"/>
    <mergeCell ref="A322:G322"/>
    <mergeCell ref="A323:J323"/>
    <mergeCell ref="A324:E324"/>
    <mergeCell ref="F324:G324"/>
    <mergeCell ref="I324:J324"/>
    <mergeCell ref="F325:G325"/>
    <mergeCell ref="I325:J325"/>
    <mergeCell ref="F332:G332"/>
    <mergeCell ref="I332:J332"/>
    <mergeCell ref="A329:E329"/>
    <mergeCell ref="F329:G329"/>
    <mergeCell ref="I329:J329"/>
    <mergeCell ref="A330:G330"/>
    <mergeCell ref="I330:J330"/>
    <mergeCell ref="A331:J331"/>
    <mergeCell ref="A332:E332"/>
    <mergeCell ref="A325:E325"/>
    <mergeCell ref="A326:E326"/>
    <mergeCell ref="F326:G326"/>
    <mergeCell ref="I326:J326"/>
    <mergeCell ref="A327:G327"/>
    <mergeCell ref="I327:J327"/>
    <mergeCell ref="A328:J328"/>
    <mergeCell ref="B143:I143"/>
    <mergeCell ref="A144:I144"/>
    <mergeCell ref="B145:I145"/>
    <mergeCell ref="A146:I146"/>
    <mergeCell ref="A147:J147"/>
    <mergeCell ref="A320:E320"/>
    <mergeCell ref="F320:G320"/>
    <mergeCell ref="I320:J320"/>
    <mergeCell ref="A321:E321"/>
    <mergeCell ref="F321:G321"/>
    <mergeCell ref="I321:J321"/>
    <mergeCell ref="A301:J301"/>
    <mergeCell ref="A302:J302"/>
    <mergeCell ref="A303:J303"/>
    <mergeCell ref="A304:J304"/>
    <mergeCell ref="A305:J305"/>
    <mergeCell ref="F306:G306"/>
    <mergeCell ref="I306:J306"/>
    <mergeCell ref="A306:E306"/>
    <mergeCell ref="A307:E307"/>
    <mergeCell ref="F307:G307"/>
    <mergeCell ref="I307:J307"/>
    <mergeCell ref="A308:E308"/>
    <mergeCell ref="F308:G308"/>
    <mergeCell ref="B120:I120"/>
    <mergeCell ref="A121:I121"/>
    <mergeCell ref="A122:J122"/>
    <mergeCell ref="A123:J123"/>
    <mergeCell ref="B124:I124"/>
    <mergeCell ref="B125:I125"/>
    <mergeCell ref="B126:I126"/>
    <mergeCell ref="B141:I141"/>
    <mergeCell ref="B142:I142"/>
    <mergeCell ref="B137:I137"/>
    <mergeCell ref="B138:I138"/>
    <mergeCell ref="B139:I139"/>
    <mergeCell ref="B140:I140"/>
    <mergeCell ref="B85:H85"/>
    <mergeCell ref="B86:H86"/>
    <mergeCell ref="B87:D87"/>
    <mergeCell ref="B88:H88"/>
    <mergeCell ref="B89:H89"/>
    <mergeCell ref="B90:H90"/>
    <mergeCell ref="B91:H91"/>
    <mergeCell ref="B92:H92"/>
    <mergeCell ref="A93:H93"/>
    <mergeCell ref="A94:J94"/>
    <mergeCell ref="A95:J95"/>
    <mergeCell ref="A96:J96"/>
    <mergeCell ref="A97:J97"/>
    <mergeCell ref="B98:I98"/>
    <mergeCell ref="B99:I99"/>
    <mergeCell ref="B100:H100"/>
    <mergeCell ref="B101:H101"/>
    <mergeCell ref="B102:H102"/>
    <mergeCell ref="B103:I103"/>
    <mergeCell ref="B104:H104"/>
    <mergeCell ref="B128:I128"/>
    <mergeCell ref="B129:I129"/>
    <mergeCell ref="B130:I130"/>
    <mergeCell ref="A131:I131"/>
    <mergeCell ref="A132:J132"/>
    <mergeCell ref="A133:J133"/>
    <mergeCell ref="A134:J134"/>
    <mergeCell ref="A135:I135"/>
    <mergeCell ref="A136:J136"/>
    <mergeCell ref="H53:J53"/>
    <mergeCell ref="B78:I78"/>
    <mergeCell ref="A79:I79"/>
    <mergeCell ref="A80:J80"/>
    <mergeCell ref="A81:J81"/>
    <mergeCell ref="A82:J82"/>
    <mergeCell ref="A83:J83"/>
    <mergeCell ref="B84:H84"/>
    <mergeCell ref="B127:I127"/>
    <mergeCell ref="B105:H105"/>
    <mergeCell ref="B106:H106"/>
    <mergeCell ref="B107:I107"/>
    <mergeCell ref="B108:I108"/>
    <mergeCell ref="B109:I109"/>
    <mergeCell ref="B110:I110"/>
    <mergeCell ref="B111:I111"/>
    <mergeCell ref="A112:I112"/>
    <mergeCell ref="A113:J113"/>
    <mergeCell ref="A114:J114"/>
    <mergeCell ref="A115:J115"/>
    <mergeCell ref="A116:J116"/>
    <mergeCell ref="B117:I117"/>
    <mergeCell ref="B118:I118"/>
    <mergeCell ref="B119:I119"/>
    <mergeCell ref="A45:J45"/>
    <mergeCell ref="A46:J46"/>
    <mergeCell ref="A47:J47"/>
    <mergeCell ref="A48:J48"/>
    <mergeCell ref="A49:J49"/>
    <mergeCell ref="A50:J50"/>
    <mergeCell ref="B51:G51"/>
    <mergeCell ref="H51:J51"/>
    <mergeCell ref="B52:G52"/>
    <mergeCell ref="H52:J52"/>
    <mergeCell ref="A71:J71"/>
    <mergeCell ref="A72:J72"/>
    <mergeCell ref="A73:J73"/>
    <mergeCell ref="B74:I74"/>
    <mergeCell ref="B75:I75"/>
    <mergeCell ref="B76:I76"/>
    <mergeCell ref="A77:I77"/>
    <mergeCell ref="A24:G24"/>
    <mergeCell ref="H24:I24"/>
    <mergeCell ref="A25:G25"/>
    <mergeCell ref="H25:I25"/>
    <mergeCell ref="A26:G26"/>
    <mergeCell ref="H26:I26"/>
    <mergeCell ref="H27:I27"/>
    <mergeCell ref="A27:G27"/>
    <mergeCell ref="A28:I28"/>
    <mergeCell ref="A29:J29"/>
    <mergeCell ref="A30:G30"/>
    <mergeCell ref="H30:I30"/>
    <mergeCell ref="A31:G31"/>
    <mergeCell ref="H31:I31"/>
    <mergeCell ref="A32:G32"/>
    <mergeCell ref="H32:I32"/>
    <mergeCell ref="A33:I33"/>
    <mergeCell ref="B62:I62"/>
    <mergeCell ref="B63:H63"/>
    <mergeCell ref="B64:I64"/>
    <mergeCell ref="B65:I65"/>
    <mergeCell ref="B66:I66"/>
    <mergeCell ref="B67:I67"/>
    <mergeCell ref="A68:I68"/>
    <mergeCell ref="A69:J69"/>
    <mergeCell ref="A70:J70"/>
    <mergeCell ref="B55:G55"/>
    <mergeCell ref="H55:J55"/>
    <mergeCell ref="A56:J56"/>
    <mergeCell ref="A57:J57"/>
    <mergeCell ref="A58:J58"/>
    <mergeCell ref="A59:J59"/>
    <mergeCell ref="B60:G60"/>
    <mergeCell ref="H60:I60"/>
    <mergeCell ref="B61:I61"/>
    <mergeCell ref="A20:H20"/>
    <mergeCell ref="I20:J20"/>
    <mergeCell ref="A21:J21"/>
    <mergeCell ref="A22:G22"/>
    <mergeCell ref="H22:I22"/>
    <mergeCell ref="A23:G23"/>
    <mergeCell ref="H23:I23"/>
    <mergeCell ref="B53:G53"/>
    <mergeCell ref="B54:G54"/>
    <mergeCell ref="H54:J54"/>
    <mergeCell ref="A34:J34"/>
    <mergeCell ref="A35:G35"/>
    <mergeCell ref="H35:I35"/>
    <mergeCell ref="A36:I36"/>
    <mergeCell ref="A37:J37"/>
    <mergeCell ref="A38:G38"/>
    <mergeCell ref="H38:I38"/>
    <mergeCell ref="A39:I39"/>
    <mergeCell ref="A40:J40"/>
    <mergeCell ref="A41:G41"/>
    <mergeCell ref="H41:I41"/>
    <mergeCell ref="A42:I42"/>
    <mergeCell ref="A43:J43"/>
    <mergeCell ref="A44:I44"/>
    <mergeCell ref="G16:H16"/>
    <mergeCell ref="I16:J16"/>
    <mergeCell ref="A14:F14"/>
    <mergeCell ref="G14:H14"/>
    <mergeCell ref="I14:J14"/>
    <mergeCell ref="A15:F15"/>
    <mergeCell ref="G15:H15"/>
    <mergeCell ref="I15:J15"/>
    <mergeCell ref="A16:F16"/>
    <mergeCell ref="B8:G8"/>
    <mergeCell ref="H8:J8"/>
    <mergeCell ref="B9:G9"/>
    <mergeCell ref="H9:J9"/>
    <mergeCell ref="G13:H13"/>
    <mergeCell ref="I13:J13"/>
    <mergeCell ref="B10:G10"/>
    <mergeCell ref="H10:J10"/>
    <mergeCell ref="A11:J11"/>
    <mergeCell ref="A12:F12"/>
    <mergeCell ref="G12:H12"/>
    <mergeCell ref="I12:J12"/>
    <mergeCell ref="A13:F13"/>
    <mergeCell ref="A1:J1"/>
    <mergeCell ref="A2:J2"/>
    <mergeCell ref="A3:G3"/>
    <mergeCell ref="H3:J3"/>
    <mergeCell ref="A4:G4"/>
    <mergeCell ref="H4:J4"/>
    <mergeCell ref="H5:J5"/>
    <mergeCell ref="A6:J6"/>
    <mergeCell ref="B7:G7"/>
    <mergeCell ref="H7:J7"/>
    <mergeCell ref="G19:H19"/>
    <mergeCell ref="I19:J19"/>
    <mergeCell ref="A17:F17"/>
    <mergeCell ref="G17:H17"/>
    <mergeCell ref="I17:J17"/>
    <mergeCell ref="A18:F18"/>
    <mergeCell ref="G18:H18"/>
    <mergeCell ref="I18:J18"/>
    <mergeCell ref="A19:F19"/>
  </mergeCells>
  <printOptions horizontalCentered="1"/>
  <pageMargins left="0.39305555555555599" right="0.39305555555555599" top="0.39305555555555599" bottom="0.39305555555555599" header="0" footer="0"/>
  <pageSetup paperSize="9" orientation="portrait"/>
  <rowBreaks count="7" manualBreakCount="7">
    <brk id="131" man="1"/>
    <brk id="164" man="1"/>
    <brk id="293" man="1"/>
    <brk id="215" man="1"/>
    <brk id="263" man="1"/>
    <brk id="58" man="1"/>
    <brk id="33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9000"/>
    <pageSetUpPr fitToPage="1"/>
  </sheetPr>
  <dimension ref="A1:Z1005"/>
  <sheetViews>
    <sheetView topLeftCell="A100" workbookViewId="0">
      <selection sqref="A1:J1"/>
    </sheetView>
  </sheetViews>
  <sheetFormatPr defaultColWidth="12.625" defaultRowHeight="15" customHeight="1" x14ac:dyDescent="0.2"/>
  <cols>
    <col min="1" max="2" width="8" customWidth="1"/>
    <col min="3" max="3" width="15.125" customWidth="1"/>
    <col min="4" max="7" width="8" customWidth="1"/>
    <col min="8" max="8" width="24.75" customWidth="1"/>
    <col min="9" max="9" width="13.875" customWidth="1"/>
    <col min="10" max="10" width="19.125" customWidth="1"/>
    <col min="11" max="26" width="8" customWidth="1"/>
  </cols>
  <sheetData>
    <row r="1" spans="1:26" ht="12.75" customHeight="1" x14ac:dyDescent="0.2">
      <c r="A1" s="452" t="s">
        <v>644</v>
      </c>
      <c r="B1" s="318"/>
      <c r="C1" s="318"/>
      <c r="D1" s="318"/>
      <c r="E1" s="318"/>
      <c r="F1" s="318"/>
      <c r="G1" s="318"/>
      <c r="H1" s="318"/>
      <c r="I1" s="318"/>
      <c r="J1" s="31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81.75" customHeight="1" x14ac:dyDescent="0.2">
      <c r="A2" s="453" t="s">
        <v>645</v>
      </c>
      <c r="B2" s="318"/>
      <c r="C2" s="318"/>
      <c r="D2" s="318"/>
      <c r="E2" s="318"/>
      <c r="F2" s="318"/>
      <c r="G2" s="318"/>
      <c r="H2" s="318"/>
      <c r="I2" s="318"/>
      <c r="J2" s="316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54.75" customHeight="1" x14ac:dyDescent="0.2">
      <c r="A3" s="454" t="s">
        <v>646</v>
      </c>
      <c r="B3" s="318"/>
      <c r="C3" s="318"/>
      <c r="D3" s="316"/>
      <c r="E3" s="455" t="s">
        <v>647</v>
      </c>
      <c r="F3" s="318"/>
      <c r="G3" s="318"/>
      <c r="H3" s="318"/>
      <c r="I3" s="318"/>
      <c r="J3" s="316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2.75" customHeight="1" x14ac:dyDescent="0.2">
      <c r="A4" s="358" t="s">
        <v>648</v>
      </c>
      <c r="B4" s="318"/>
      <c r="C4" s="318"/>
      <c r="D4" s="318"/>
      <c r="E4" s="318"/>
      <c r="F4" s="318"/>
      <c r="G4" s="316"/>
      <c r="H4" s="456" t="s">
        <v>8</v>
      </c>
      <c r="I4" s="318"/>
      <c r="J4" s="31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75" customHeight="1" x14ac:dyDescent="0.2">
      <c r="A5" s="358" t="s">
        <v>649</v>
      </c>
      <c r="B5" s="318"/>
      <c r="C5" s="318"/>
      <c r="D5" s="318"/>
      <c r="E5" s="318"/>
      <c r="F5" s="318"/>
      <c r="G5" s="316"/>
      <c r="H5" s="456" t="s">
        <v>650</v>
      </c>
      <c r="I5" s="318"/>
      <c r="J5" s="316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2.75" customHeight="1" x14ac:dyDescent="0.2">
      <c r="A6" s="358" t="s">
        <v>276</v>
      </c>
      <c r="B6" s="318"/>
      <c r="C6" s="318"/>
      <c r="D6" s="318"/>
      <c r="E6" s="318"/>
      <c r="F6" s="318"/>
      <c r="G6" s="318"/>
      <c r="H6" s="318"/>
      <c r="I6" s="318"/>
      <c r="J6" s="316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2.75" customHeight="1" x14ac:dyDescent="0.2">
      <c r="A7" s="362" t="s">
        <v>277</v>
      </c>
      <c r="B7" s="318"/>
      <c r="C7" s="318"/>
      <c r="D7" s="318"/>
      <c r="E7" s="318"/>
      <c r="F7" s="318"/>
      <c r="G7" s="318"/>
      <c r="H7" s="318"/>
      <c r="I7" s="318"/>
      <c r="J7" s="316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2.75" customHeight="1" x14ac:dyDescent="0.2">
      <c r="A8" s="138" t="s">
        <v>278</v>
      </c>
      <c r="B8" s="358" t="s">
        <v>279</v>
      </c>
      <c r="C8" s="318"/>
      <c r="D8" s="318"/>
      <c r="E8" s="318"/>
      <c r="F8" s="318"/>
      <c r="G8" s="316"/>
      <c r="H8" s="457">
        <f ca="1">NOW()</f>
        <v>44489.18239652778</v>
      </c>
      <c r="I8" s="318"/>
      <c r="J8" s="316"/>
      <c r="K8" s="61"/>
      <c r="L8" s="61"/>
      <c r="M8" s="61"/>
      <c r="N8" s="235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 customHeight="1" x14ac:dyDescent="0.2">
      <c r="A9" s="138" t="s">
        <v>280</v>
      </c>
      <c r="B9" s="358" t="s">
        <v>281</v>
      </c>
      <c r="C9" s="318"/>
      <c r="D9" s="318"/>
      <c r="E9" s="318"/>
      <c r="F9" s="318"/>
      <c r="G9" s="316"/>
      <c r="H9" s="457" t="s">
        <v>651</v>
      </c>
      <c r="I9" s="318"/>
      <c r="J9" s="316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2.75" customHeight="1" x14ac:dyDescent="0.2">
      <c r="A10" s="138" t="s">
        <v>282</v>
      </c>
      <c r="B10" s="358" t="s">
        <v>283</v>
      </c>
      <c r="C10" s="318"/>
      <c r="D10" s="318"/>
      <c r="E10" s="318"/>
      <c r="F10" s="318"/>
      <c r="G10" s="316"/>
      <c r="H10" s="458" t="str">
        <f>'Aba Carregamento'!B71</f>
        <v>RS 000051/2021</v>
      </c>
      <c r="I10" s="318"/>
      <c r="J10" s="316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2.75" customHeight="1" x14ac:dyDescent="0.2">
      <c r="A11" s="138" t="s">
        <v>284</v>
      </c>
      <c r="B11" s="358" t="s">
        <v>285</v>
      </c>
      <c r="C11" s="318"/>
      <c r="D11" s="318"/>
      <c r="E11" s="318"/>
      <c r="F11" s="318"/>
      <c r="G11" s="316"/>
      <c r="H11" s="456">
        <v>20</v>
      </c>
      <c r="I11" s="318"/>
      <c r="J11" s="31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2.75" customHeight="1" x14ac:dyDescent="0.2">
      <c r="A12" s="364" t="s">
        <v>286</v>
      </c>
      <c r="B12" s="318"/>
      <c r="C12" s="318"/>
      <c r="D12" s="318"/>
      <c r="E12" s="318"/>
      <c r="F12" s="318"/>
      <c r="G12" s="318"/>
      <c r="H12" s="318"/>
      <c r="I12" s="318"/>
      <c r="J12" s="31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2.75" customHeight="1" x14ac:dyDescent="0.2">
      <c r="A13" s="365" t="s">
        <v>287</v>
      </c>
      <c r="B13" s="318"/>
      <c r="C13" s="318"/>
      <c r="D13" s="318"/>
      <c r="E13" s="318"/>
      <c r="F13" s="316"/>
      <c r="G13" s="365" t="s">
        <v>288</v>
      </c>
      <c r="H13" s="316"/>
      <c r="I13" s="365" t="s">
        <v>652</v>
      </c>
      <c r="J13" s="31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2.75" customHeight="1" x14ac:dyDescent="0.2">
      <c r="A14" s="353" t="s">
        <v>653</v>
      </c>
      <c r="B14" s="318"/>
      <c r="C14" s="318"/>
      <c r="D14" s="318"/>
      <c r="E14" s="318"/>
      <c r="F14" s="316"/>
      <c r="G14" s="354" t="s">
        <v>291</v>
      </c>
      <c r="H14" s="316"/>
      <c r="I14" s="459">
        <v>0</v>
      </c>
      <c r="J14" s="316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2.75" customHeight="1" x14ac:dyDescent="0.2">
      <c r="A15" s="366" t="s">
        <v>298</v>
      </c>
      <c r="B15" s="318"/>
      <c r="C15" s="318"/>
      <c r="D15" s="318"/>
      <c r="E15" s="318"/>
      <c r="F15" s="318"/>
      <c r="G15" s="318"/>
      <c r="H15" s="316"/>
      <c r="I15" s="367">
        <v>0</v>
      </c>
      <c r="J15" s="31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2.75" customHeight="1" x14ac:dyDescent="0.2">
      <c r="A16" s="382" t="s">
        <v>314</v>
      </c>
      <c r="B16" s="318"/>
      <c r="C16" s="318"/>
      <c r="D16" s="318"/>
      <c r="E16" s="318"/>
      <c r="F16" s="318"/>
      <c r="G16" s="316"/>
      <c r="H16" s="369" t="s">
        <v>291</v>
      </c>
      <c r="I16" s="316"/>
      <c r="J16" s="236">
        <v>0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2.75" customHeight="1" x14ac:dyDescent="0.2">
      <c r="A17" s="381" t="s">
        <v>315</v>
      </c>
      <c r="B17" s="318"/>
      <c r="C17" s="318"/>
      <c r="D17" s="318"/>
      <c r="E17" s="318"/>
      <c r="F17" s="318"/>
      <c r="G17" s="318"/>
      <c r="H17" s="318"/>
      <c r="I17" s="316"/>
      <c r="J17" s="140">
        <v>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2.75" customHeight="1" x14ac:dyDescent="0.2">
      <c r="A18" s="368"/>
      <c r="B18" s="318"/>
      <c r="C18" s="318"/>
      <c r="D18" s="318"/>
      <c r="E18" s="318"/>
      <c r="F18" s="318"/>
      <c r="G18" s="318"/>
      <c r="H18" s="318"/>
      <c r="I18" s="318"/>
      <c r="J18" s="316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2.75" customHeight="1" x14ac:dyDescent="0.2">
      <c r="A19" s="384" t="s">
        <v>316</v>
      </c>
      <c r="B19" s="318"/>
      <c r="C19" s="318"/>
      <c r="D19" s="318"/>
      <c r="E19" s="318"/>
      <c r="F19" s="318"/>
      <c r="G19" s="318"/>
      <c r="H19" s="318"/>
      <c r="I19" s="316"/>
      <c r="J19" s="141">
        <f>I15+J17</f>
        <v>0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2.75" customHeight="1" x14ac:dyDescent="0.2">
      <c r="A20" s="368"/>
      <c r="B20" s="318"/>
      <c r="C20" s="318"/>
      <c r="D20" s="318"/>
      <c r="E20" s="318"/>
      <c r="F20" s="318"/>
      <c r="G20" s="318"/>
      <c r="H20" s="318"/>
      <c r="I20" s="318"/>
      <c r="J20" s="316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2.75" customHeight="1" x14ac:dyDescent="0.2">
      <c r="A21" s="385" t="s">
        <v>317</v>
      </c>
      <c r="B21" s="318"/>
      <c r="C21" s="318"/>
      <c r="D21" s="318"/>
      <c r="E21" s="318"/>
      <c r="F21" s="318"/>
      <c r="G21" s="318"/>
      <c r="H21" s="318"/>
      <c r="I21" s="318"/>
      <c r="J21" s="316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2.75" customHeight="1" x14ac:dyDescent="0.2">
      <c r="A22" s="368"/>
      <c r="B22" s="318"/>
      <c r="C22" s="318"/>
      <c r="D22" s="318"/>
      <c r="E22" s="318"/>
      <c r="F22" s="318"/>
      <c r="G22" s="318"/>
      <c r="H22" s="318"/>
      <c r="I22" s="318"/>
      <c r="J22" s="316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2.75" customHeight="1" x14ac:dyDescent="0.2">
      <c r="A23" s="372" t="s">
        <v>654</v>
      </c>
      <c r="B23" s="318"/>
      <c r="C23" s="318"/>
      <c r="D23" s="318"/>
      <c r="E23" s="318"/>
      <c r="F23" s="318"/>
      <c r="G23" s="318"/>
      <c r="H23" s="318"/>
      <c r="I23" s="318"/>
      <c r="J23" s="316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2.75" customHeight="1" x14ac:dyDescent="0.2">
      <c r="A24" s="368"/>
      <c r="B24" s="318"/>
      <c r="C24" s="318"/>
      <c r="D24" s="318"/>
      <c r="E24" s="318"/>
      <c r="F24" s="318"/>
      <c r="G24" s="318"/>
      <c r="H24" s="318"/>
      <c r="I24" s="318"/>
      <c r="J24" s="316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2.75" customHeight="1" x14ac:dyDescent="0.2">
      <c r="A25" s="373" t="s">
        <v>319</v>
      </c>
      <c r="B25" s="318"/>
      <c r="C25" s="318"/>
      <c r="D25" s="318"/>
      <c r="E25" s="318"/>
      <c r="F25" s="318"/>
      <c r="G25" s="318"/>
      <c r="H25" s="318"/>
      <c r="I25" s="318"/>
      <c r="J25" s="316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2.75" customHeight="1" x14ac:dyDescent="0.2">
      <c r="A26" s="138">
        <v>1</v>
      </c>
      <c r="B26" s="358" t="s">
        <v>320</v>
      </c>
      <c r="C26" s="318"/>
      <c r="D26" s="318"/>
      <c r="E26" s="318"/>
      <c r="F26" s="318"/>
      <c r="G26" s="316"/>
      <c r="H26" s="370" t="s">
        <v>321</v>
      </c>
      <c r="I26" s="318"/>
      <c r="J26" s="316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2.75" customHeight="1" x14ac:dyDescent="0.2">
      <c r="A27" s="138">
        <v>2</v>
      </c>
      <c r="B27" s="358" t="s">
        <v>322</v>
      </c>
      <c r="C27" s="318"/>
      <c r="D27" s="318"/>
      <c r="E27" s="318"/>
      <c r="F27" s="318"/>
      <c r="G27" s="316"/>
      <c r="H27" s="370">
        <v>5143</v>
      </c>
      <c r="I27" s="318"/>
      <c r="J27" s="316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27.75" customHeight="1" x14ac:dyDescent="0.2">
      <c r="A28" s="138">
        <v>3</v>
      </c>
      <c r="B28" s="358" t="s">
        <v>323</v>
      </c>
      <c r="C28" s="318"/>
      <c r="D28" s="318"/>
      <c r="E28" s="318"/>
      <c r="F28" s="318"/>
      <c r="G28" s="316"/>
      <c r="H28" s="386">
        <f>'Aba Carregamento'!B75</f>
        <v>0</v>
      </c>
      <c r="I28" s="318"/>
      <c r="J28" s="316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 customHeight="1" x14ac:dyDescent="0.2">
      <c r="A29" s="138">
        <v>4</v>
      </c>
      <c r="B29" s="358" t="s">
        <v>324</v>
      </c>
      <c r="C29" s="318"/>
      <c r="D29" s="318"/>
      <c r="E29" s="318"/>
      <c r="F29" s="318"/>
      <c r="G29" s="316"/>
      <c r="H29" s="370" t="s">
        <v>655</v>
      </c>
      <c r="I29" s="318"/>
      <c r="J29" s="31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75" customHeight="1" x14ac:dyDescent="0.2">
      <c r="A30" s="138">
        <v>5</v>
      </c>
      <c r="B30" s="358" t="s">
        <v>326</v>
      </c>
      <c r="C30" s="318"/>
      <c r="D30" s="318"/>
      <c r="E30" s="318"/>
      <c r="F30" s="318"/>
      <c r="G30" s="316"/>
      <c r="H30" s="451" t="s">
        <v>656</v>
      </c>
      <c r="I30" s="318"/>
      <c r="J30" s="316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75" customHeight="1" x14ac:dyDescent="0.2">
      <c r="A31" s="368"/>
      <c r="B31" s="318"/>
      <c r="C31" s="318"/>
      <c r="D31" s="318"/>
      <c r="E31" s="318"/>
      <c r="F31" s="318"/>
      <c r="G31" s="318"/>
      <c r="H31" s="318"/>
      <c r="I31" s="318"/>
      <c r="J31" s="316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2.75" customHeight="1" x14ac:dyDescent="0.2">
      <c r="A32" s="353" t="s">
        <v>327</v>
      </c>
      <c r="B32" s="318"/>
      <c r="C32" s="318"/>
      <c r="D32" s="318"/>
      <c r="E32" s="318"/>
      <c r="F32" s="318"/>
      <c r="G32" s="318"/>
      <c r="H32" s="318"/>
      <c r="I32" s="318"/>
      <c r="J32" s="316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 customHeight="1" x14ac:dyDescent="0.2">
      <c r="A33" s="368"/>
      <c r="B33" s="318"/>
      <c r="C33" s="318"/>
      <c r="D33" s="318"/>
      <c r="E33" s="318"/>
      <c r="F33" s="318"/>
      <c r="G33" s="318"/>
      <c r="H33" s="318"/>
      <c r="I33" s="318"/>
      <c r="J33" s="316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 customHeight="1" x14ac:dyDescent="0.2">
      <c r="A34" s="372" t="s">
        <v>328</v>
      </c>
      <c r="B34" s="318"/>
      <c r="C34" s="318"/>
      <c r="D34" s="318"/>
      <c r="E34" s="318"/>
      <c r="F34" s="318"/>
      <c r="G34" s="318"/>
      <c r="H34" s="318"/>
      <c r="I34" s="318"/>
      <c r="J34" s="316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2.75" customHeight="1" x14ac:dyDescent="0.2">
      <c r="A35" s="142">
        <v>1</v>
      </c>
      <c r="B35" s="373" t="s">
        <v>329</v>
      </c>
      <c r="C35" s="318"/>
      <c r="D35" s="318"/>
      <c r="E35" s="318"/>
      <c r="F35" s="318"/>
      <c r="G35" s="316"/>
      <c r="H35" s="373" t="s">
        <v>330</v>
      </c>
      <c r="I35" s="316"/>
      <c r="J35" s="142" t="s">
        <v>331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2.75" customHeight="1" x14ac:dyDescent="0.2">
      <c r="A36" s="138" t="s">
        <v>278</v>
      </c>
      <c r="B36" s="358" t="s">
        <v>657</v>
      </c>
      <c r="C36" s="318"/>
      <c r="D36" s="318"/>
      <c r="E36" s="318"/>
      <c r="F36" s="318"/>
      <c r="G36" s="318"/>
      <c r="H36" s="318"/>
      <c r="I36" s="316"/>
      <c r="J36" s="143">
        <f>H28</f>
        <v>0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 customHeight="1" x14ac:dyDescent="0.2">
      <c r="A37" s="138" t="s">
        <v>280</v>
      </c>
      <c r="B37" s="358" t="s">
        <v>658</v>
      </c>
      <c r="C37" s="318"/>
      <c r="D37" s="318"/>
      <c r="E37" s="318"/>
      <c r="F37" s="318"/>
      <c r="G37" s="318"/>
      <c r="H37" s="318"/>
      <c r="I37" s="316"/>
      <c r="J37" s="14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 customHeight="1" x14ac:dyDescent="0.2">
      <c r="A38" s="138" t="s">
        <v>282</v>
      </c>
      <c r="B38" s="460" t="s">
        <v>334</v>
      </c>
      <c r="C38" s="318"/>
      <c r="D38" s="318"/>
      <c r="E38" s="318"/>
      <c r="F38" s="318"/>
      <c r="G38" s="318"/>
      <c r="H38" s="316"/>
      <c r="I38" s="144">
        <v>0.2</v>
      </c>
      <c r="J38" s="143">
        <f>ROUND(I38*J36,2)</f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 x14ac:dyDescent="0.2">
      <c r="A39" s="138" t="s">
        <v>338</v>
      </c>
      <c r="B39" s="358" t="s">
        <v>659</v>
      </c>
      <c r="C39" s="318"/>
      <c r="D39" s="318"/>
      <c r="E39" s="318"/>
      <c r="F39" s="318"/>
      <c r="G39" s="318"/>
      <c r="H39" s="318"/>
      <c r="I39" s="316"/>
      <c r="J39" s="145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 customHeight="1" x14ac:dyDescent="0.2">
      <c r="A40" s="138" t="s">
        <v>340</v>
      </c>
      <c r="B40" s="358" t="s">
        <v>660</v>
      </c>
      <c r="C40" s="318"/>
      <c r="D40" s="318"/>
      <c r="E40" s="318"/>
      <c r="F40" s="318"/>
      <c r="G40" s="318"/>
      <c r="H40" s="318"/>
      <c r="I40" s="316"/>
      <c r="J40" s="14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 customHeight="1" x14ac:dyDescent="0.2">
      <c r="A41" s="374" t="s">
        <v>342</v>
      </c>
      <c r="B41" s="318"/>
      <c r="C41" s="318"/>
      <c r="D41" s="318"/>
      <c r="E41" s="318"/>
      <c r="F41" s="318"/>
      <c r="G41" s="318"/>
      <c r="H41" s="318"/>
      <c r="I41" s="316"/>
      <c r="J41" s="146">
        <f>SUM(J36:J40)</f>
        <v>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 customHeight="1" x14ac:dyDescent="0.2">
      <c r="A42" s="368"/>
      <c r="B42" s="318"/>
      <c r="C42" s="318"/>
      <c r="D42" s="318"/>
      <c r="E42" s="318"/>
      <c r="F42" s="318"/>
      <c r="G42" s="318"/>
      <c r="H42" s="318"/>
      <c r="I42" s="318"/>
      <c r="J42" s="316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 customHeight="1" x14ac:dyDescent="0.2">
      <c r="A43" s="375" t="s">
        <v>343</v>
      </c>
      <c r="B43" s="318"/>
      <c r="C43" s="318"/>
      <c r="D43" s="318"/>
      <c r="E43" s="318"/>
      <c r="F43" s="318"/>
      <c r="G43" s="318"/>
      <c r="H43" s="318"/>
      <c r="I43" s="318"/>
      <c r="J43" s="316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2.75" customHeight="1" x14ac:dyDescent="0.2">
      <c r="A44" s="368"/>
      <c r="B44" s="318"/>
      <c r="C44" s="318"/>
      <c r="D44" s="318"/>
      <c r="E44" s="318"/>
      <c r="F44" s="318"/>
      <c r="G44" s="318"/>
      <c r="H44" s="318"/>
      <c r="I44" s="318"/>
      <c r="J44" s="316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 customHeight="1" x14ac:dyDescent="0.2">
      <c r="A45" s="376" t="s">
        <v>344</v>
      </c>
      <c r="B45" s="318"/>
      <c r="C45" s="318"/>
      <c r="D45" s="318"/>
      <c r="E45" s="318"/>
      <c r="F45" s="318"/>
      <c r="G45" s="318"/>
      <c r="H45" s="318"/>
      <c r="I45" s="318"/>
      <c r="J45" s="316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2.75" customHeight="1" x14ac:dyDescent="0.2">
      <c r="A46" s="377" t="s">
        <v>661</v>
      </c>
      <c r="B46" s="318"/>
      <c r="C46" s="318"/>
      <c r="D46" s="318"/>
      <c r="E46" s="318"/>
      <c r="F46" s="318"/>
      <c r="G46" s="318"/>
      <c r="H46" s="318"/>
      <c r="I46" s="318"/>
      <c r="J46" s="31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 customHeight="1" x14ac:dyDescent="0.2">
      <c r="A47" s="147" t="s">
        <v>346</v>
      </c>
      <c r="B47" s="378" t="s">
        <v>390</v>
      </c>
      <c r="C47" s="318"/>
      <c r="D47" s="318"/>
      <c r="E47" s="318"/>
      <c r="F47" s="318"/>
      <c r="G47" s="318"/>
      <c r="H47" s="318"/>
      <c r="I47" s="316"/>
      <c r="J47" s="148" t="s">
        <v>348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2.75" customHeight="1" x14ac:dyDescent="0.2">
      <c r="A48" s="149" t="s">
        <v>278</v>
      </c>
      <c r="B48" s="379" t="s">
        <v>662</v>
      </c>
      <c r="C48" s="318"/>
      <c r="D48" s="318"/>
      <c r="E48" s="318"/>
      <c r="F48" s="318"/>
      <c r="G48" s="318"/>
      <c r="H48" s="318"/>
      <c r="I48" s="316"/>
      <c r="J48" s="150">
        <f>ROUND($J$41/12,2)</f>
        <v>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 customHeight="1" x14ac:dyDescent="0.2">
      <c r="A49" s="149" t="s">
        <v>280</v>
      </c>
      <c r="B49" s="379" t="s">
        <v>663</v>
      </c>
      <c r="C49" s="318"/>
      <c r="D49" s="318"/>
      <c r="E49" s="318"/>
      <c r="F49" s="318"/>
      <c r="G49" s="318"/>
      <c r="H49" s="318"/>
      <c r="I49" s="316"/>
      <c r="J49" s="150">
        <f>ROUND(($J$41/3)/12,2)</f>
        <v>0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2.75" customHeight="1" x14ac:dyDescent="0.2">
      <c r="A50" s="380" t="s">
        <v>351</v>
      </c>
      <c r="B50" s="318"/>
      <c r="C50" s="318"/>
      <c r="D50" s="318"/>
      <c r="E50" s="318"/>
      <c r="F50" s="318"/>
      <c r="G50" s="318"/>
      <c r="H50" s="318"/>
      <c r="I50" s="316"/>
      <c r="J50" s="150">
        <f>SUM(J48+J49)</f>
        <v>0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2.75" customHeight="1" x14ac:dyDescent="0.2">
      <c r="A51" s="151"/>
      <c r="B51" s="379"/>
      <c r="C51" s="318"/>
      <c r="D51" s="318"/>
      <c r="E51" s="318"/>
      <c r="F51" s="318"/>
      <c r="G51" s="318"/>
      <c r="H51" s="318"/>
      <c r="I51" s="316"/>
      <c r="J51" s="152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2.75" customHeight="1" x14ac:dyDescent="0.2">
      <c r="A52" s="387" t="s">
        <v>351</v>
      </c>
      <c r="B52" s="318"/>
      <c r="C52" s="318"/>
      <c r="D52" s="318"/>
      <c r="E52" s="318"/>
      <c r="F52" s="318"/>
      <c r="G52" s="318"/>
      <c r="H52" s="318"/>
      <c r="I52" s="316"/>
      <c r="J52" s="153">
        <f>J50+J51</f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2.75" customHeight="1" x14ac:dyDescent="0.2">
      <c r="A53" s="368"/>
      <c r="B53" s="318"/>
      <c r="C53" s="318"/>
      <c r="D53" s="318"/>
      <c r="E53" s="318"/>
      <c r="F53" s="318"/>
      <c r="G53" s="318"/>
      <c r="H53" s="318"/>
      <c r="I53" s="318"/>
      <c r="J53" s="316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2.75" customHeight="1" x14ac:dyDescent="0.2">
      <c r="A54" s="385" t="s">
        <v>352</v>
      </c>
      <c r="B54" s="318"/>
      <c r="C54" s="318"/>
      <c r="D54" s="318"/>
      <c r="E54" s="318"/>
      <c r="F54" s="318"/>
      <c r="G54" s="318"/>
      <c r="H54" s="318"/>
      <c r="I54" s="318"/>
      <c r="J54" s="316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2.75" customHeight="1" x14ac:dyDescent="0.2">
      <c r="A55" s="368"/>
      <c r="B55" s="318"/>
      <c r="C55" s="318"/>
      <c r="D55" s="318"/>
      <c r="E55" s="318"/>
      <c r="F55" s="318"/>
      <c r="G55" s="318"/>
      <c r="H55" s="318"/>
      <c r="I55" s="318"/>
      <c r="J55" s="316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 customHeight="1" x14ac:dyDescent="0.2">
      <c r="A56" s="376" t="s">
        <v>353</v>
      </c>
      <c r="B56" s="318"/>
      <c r="C56" s="318"/>
      <c r="D56" s="318"/>
      <c r="E56" s="318"/>
      <c r="F56" s="318"/>
      <c r="G56" s="318"/>
      <c r="H56" s="318"/>
      <c r="I56" s="318"/>
      <c r="J56" s="316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2.75" customHeight="1" x14ac:dyDescent="0.2">
      <c r="A57" s="154" t="s">
        <v>354</v>
      </c>
      <c r="B57" s="388" t="s">
        <v>355</v>
      </c>
      <c r="C57" s="318"/>
      <c r="D57" s="318"/>
      <c r="E57" s="318"/>
      <c r="F57" s="318"/>
      <c r="G57" s="318"/>
      <c r="H57" s="316"/>
      <c r="I57" s="142" t="s">
        <v>356</v>
      </c>
      <c r="J57" s="142" t="s">
        <v>357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x14ac:dyDescent="0.2">
      <c r="A58" s="149" t="s">
        <v>278</v>
      </c>
      <c r="B58" s="379" t="s">
        <v>358</v>
      </c>
      <c r="C58" s="318"/>
      <c r="D58" s="318"/>
      <c r="E58" s="318"/>
      <c r="F58" s="318"/>
      <c r="G58" s="318"/>
      <c r="H58" s="316"/>
      <c r="I58" s="155">
        <v>0.2</v>
      </c>
      <c r="J58" s="156">
        <f t="shared" ref="J58:J65" si="0">ROUND($J$41*I58,2)</f>
        <v>0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2.75" customHeight="1" x14ac:dyDescent="0.2">
      <c r="A59" s="149" t="s">
        <v>280</v>
      </c>
      <c r="B59" s="379" t="s">
        <v>664</v>
      </c>
      <c r="C59" s="318"/>
      <c r="D59" s="318"/>
      <c r="E59" s="318"/>
      <c r="F59" s="318"/>
      <c r="G59" s="318"/>
      <c r="H59" s="316"/>
      <c r="I59" s="155">
        <v>0</v>
      </c>
      <c r="J59" s="156">
        <f t="shared" si="0"/>
        <v>0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27.75" customHeight="1" x14ac:dyDescent="0.2">
      <c r="A60" s="149" t="s">
        <v>282</v>
      </c>
      <c r="B60" s="358" t="s">
        <v>665</v>
      </c>
      <c r="C60" s="318"/>
      <c r="D60" s="316"/>
      <c r="E60" s="157" t="s">
        <v>361</v>
      </c>
      <c r="F60" s="234">
        <f>'Aba Carregamento'!B85</f>
        <v>0</v>
      </c>
      <c r="G60" s="157" t="s">
        <v>362</v>
      </c>
      <c r="H60" s="159">
        <f>'Aba Carregamento'!B86</f>
        <v>0</v>
      </c>
      <c r="I60" s="160">
        <f>ROUND((F60*H60),6)</f>
        <v>0</v>
      </c>
      <c r="J60" s="156">
        <f t="shared" si="0"/>
        <v>0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2.75" customHeight="1" x14ac:dyDescent="0.2">
      <c r="A61" s="149" t="s">
        <v>284</v>
      </c>
      <c r="B61" s="379" t="s">
        <v>363</v>
      </c>
      <c r="C61" s="318"/>
      <c r="D61" s="318"/>
      <c r="E61" s="318"/>
      <c r="F61" s="318"/>
      <c r="G61" s="318"/>
      <c r="H61" s="316"/>
      <c r="I61" s="155">
        <v>0</v>
      </c>
      <c r="J61" s="156">
        <f t="shared" si="0"/>
        <v>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2.75" customHeight="1" x14ac:dyDescent="0.2">
      <c r="A62" s="149" t="s">
        <v>336</v>
      </c>
      <c r="B62" s="379" t="s">
        <v>364</v>
      </c>
      <c r="C62" s="318"/>
      <c r="D62" s="318"/>
      <c r="E62" s="318"/>
      <c r="F62" s="318"/>
      <c r="G62" s="318"/>
      <c r="H62" s="316"/>
      <c r="I62" s="155">
        <v>0</v>
      </c>
      <c r="J62" s="156">
        <f t="shared" si="0"/>
        <v>0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2.75" customHeight="1" x14ac:dyDescent="0.2">
      <c r="A63" s="149" t="s">
        <v>338</v>
      </c>
      <c r="B63" s="379" t="s">
        <v>365</v>
      </c>
      <c r="C63" s="318"/>
      <c r="D63" s="318"/>
      <c r="E63" s="318"/>
      <c r="F63" s="318"/>
      <c r="G63" s="318"/>
      <c r="H63" s="316"/>
      <c r="I63" s="155">
        <v>0</v>
      </c>
      <c r="J63" s="156">
        <f t="shared" si="0"/>
        <v>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2.75" customHeight="1" x14ac:dyDescent="0.2">
      <c r="A64" s="149" t="s">
        <v>340</v>
      </c>
      <c r="B64" s="379" t="s">
        <v>366</v>
      </c>
      <c r="C64" s="318"/>
      <c r="D64" s="318"/>
      <c r="E64" s="318"/>
      <c r="F64" s="318"/>
      <c r="G64" s="318"/>
      <c r="H64" s="316"/>
      <c r="I64" s="155">
        <v>0</v>
      </c>
      <c r="J64" s="156">
        <f t="shared" si="0"/>
        <v>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2.75" customHeight="1" x14ac:dyDescent="0.2">
      <c r="A65" s="149" t="s">
        <v>367</v>
      </c>
      <c r="B65" s="379" t="s">
        <v>368</v>
      </c>
      <c r="C65" s="318"/>
      <c r="D65" s="318"/>
      <c r="E65" s="318"/>
      <c r="F65" s="318"/>
      <c r="G65" s="318"/>
      <c r="H65" s="316"/>
      <c r="I65" s="155">
        <v>0.08</v>
      </c>
      <c r="J65" s="156">
        <f t="shared" si="0"/>
        <v>0</v>
      </c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2.75" customHeight="1" x14ac:dyDescent="0.2">
      <c r="A66" s="387" t="s">
        <v>351</v>
      </c>
      <c r="B66" s="318"/>
      <c r="C66" s="318"/>
      <c r="D66" s="318"/>
      <c r="E66" s="318"/>
      <c r="F66" s="318"/>
      <c r="G66" s="318"/>
      <c r="H66" s="316"/>
      <c r="I66" s="161">
        <f t="shared" ref="I66:J66" si="1">SUM(I58:I65)</f>
        <v>0.28000000000000003</v>
      </c>
      <c r="J66" s="153">
        <f t="shared" si="1"/>
        <v>0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.75" customHeight="1" x14ac:dyDescent="0.2">
      <c r="A67" s="368"/>
      <c r="B67" s="318"/>
      <c r="C67" s="318"/>
      <c r="D67" s="318"/>
      <c r="E67" s="318"/>
      <c r="F67" s="318"/>
      <c r="G67" s="318"/>
      <c r="H67" s="318"/>
      <c r="I67" s="318"/>
      <c r="J67" s="316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.75" customHeight="1" x14ac:dyDescent="0.2">
      <c r="A68" s="385" t="s">
        <v>666</v>
      </c>
      <c r="B68" s="318"/>
      <c r="C68" s="318"/>
      <c r="D68" s="318"/>
      <c r="E68" s="318"/>
      <c r="F68" s="318"/>
      <c r="G68" s="318"/>
      <c r="H68" s="318"/>
      <c r="I68" s="318"/>
      <c r="J68" s="316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 customHeight="1" x14ac:dyDescent="0.2">
      <c r="A69" s="368"/>
      <c r="B69" s="318"/>
      <c r="C69" s="318"/>
      <c r="D69" s="318"/>
      <c r="E69" s="318"/>
      <c r="F69" s="318"/>
      <c r="G69" s="318"/>
      <c r="H69" s="318"/>
      <c r="I69" s="318"/>
      <c r="J69" s="316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.75" customHeight="1" x14ac:dyDescent="0.2">
      <c r="A70" s="376" t="s">
        <v>370</v>
      </c>
      <c r="B70" s="318"/>
      <c r="C70" s="318"/>
      <c r="D70" s="318"/>
      <c r="E70" s="318"/>
      <c r="F70" s="318"/>
      <c r="G70" s="318"/>
      <c r="H70" s="318"/>
      <c r="I70" s="318"/>
      <c r="J70" s="316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 customHeight="1" x14ac:dyDescent="0.2">
      <c r="A71" s="154" t="s">
        <v>371</v>
      </c>
      <c r="B71" s="388" t="s">
        <v>372</v>
      </c>
      <c r="C71" s="318"/>
      <c r="D71" s="318"/>
      <c r="E71" s="318"/>
      <c r="F71" s="318"/>
      <c r="G71" s="318"/>
      <c r="H71" s="318"/>
      <c r="I71" s="316"/>
      <c r="J71" s="142" t="s">
        <v>348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.75" customHeight="1" x14ac:dyDescent="0.2">
      <c r="A72" s="149" t="s">
        <v>278</v>
      </c>
      <c r="B72" s="379" t="s">
        <v>667</v>
      </c>
      <c r="C72" s="318"/>
      <c r="D72" s="318"/>
      <c r="E72" s="318"/>
      <c r="F72" s="318"/>
      <c r="G72" s="318"/>
      <c r="H72" s="318"/>
      <c r="I72" s="316"/>
      <c r="J72" s="156">
        <f>IF(ROUND((I75*I73*I74)-(J36*0.06),2)&lt;0,0,ROUND((I75*I73*I74)-(J36*0.06),2))*1+(I73*I74*21.726-0.06*J36)*0</f>
        <v>0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 customHeight="1" x14ac:dyDescent="0.2">
      <c r="A73" s="149"/>
      <c r="B73" s="392" t="s">
        <v>374</v>
      </c>
      <c r="C73" s="318"/>
      <c r="D73" s="318"/>
      <c r="E73" s="318"/>
      <c r="F73" s="318"/>
      <c r="G73" s="318"/>
      <c r="H73" s="316"/>
      <c r="I73" s="237">
        <v>4.8</v>
      </c>
      <c r="J73" s="163" t="s">
        <v>375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 customHeight="1" x14ac:dyDescent="0.2">
      <c r="A74" s="149"/>
      <c r="B74" s="392" t="s">
        <v>376</v>
      </c>
      <c r="C74" s="318"/>
      <c r="D74" s="318"/>
      <c r="E74" s="318"/>
      <c r="F74" s="318"/>
      <c r="G74" s="318"/>
      <c r="H74" s="316"/>
      <c r="I74" s="164">
        <v>2</v>
      </c>
      <c r="J74" s="163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 customHeight="1" x14ac:dyDescent="0.2">
      <c r="A75" s="149"/>
      <c r="B75" s="392" t="s">
        <v>377</v>
      </c>
      <c r="C75" s="318"/>
      <c r="D75" s="318"/>
      <c r="E75" s="318"/>
      <c r="F75" s="318"/>
      <c r="G75" s="318"/>
      <c r="H75" s="316"/>
      <c r="I75" s="165">
        <f>'Aba Carregamento'!B92</f>
        <v>0</v>
      </c>
      <c r="J75" s="163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 customHeight="1" x14ac:dyDescent="0.2">
      <c r="A76" s="149" t="s">
        <v>280</v>
      </c>
      <c r="B76" s="379" t="s">
        <v>668</v>
      </c>
      <c r="C76" s="318"/>
      <c r="D76" s="318"/>
      <c r="E76" s="318"/>
      <c r="F76" s="318"/>
      <c r="G76" s="318"/>
      <c r="H76" s="318"/>
      <c r="I76" s="316"/>
      <c r="J76" s="156">
        <f>ROUND(I78*I77*(1-I79),2)*1+ROUND(22*6*(1-I79),2)*0</f>
        <v>0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 customHeight="1" x14ac:dyDescent="0.2">
      <c r="A77" s="149"/>
      <c r="B77" s="392" t="s">
        <v>379</v>
      </c>
      <c r="C77" s="318"/>
      <c r="D77" s="318"/>
      <c r="E77" s="318"/>
      <c r="F77" s="318"/>
      <c r="G77" s="318"/>
      <c r="H77" s="316"/>
      <c r="I77" s="162">
        <f>'Aba Carregamento'!B87</f>
        <v>0</v>
      </c>
      <c r="J77" s="163" t="s">
        <v>375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 customHeight="1" x14ac:dyDescent="0.2">
      <c r="A78" s="166"/>
      <c r="B78" s="392" t="s">
        <v>380</v>
      </c>
      <c r="C78" s="318"/>
      <c r="D78" s="318"/>
      <c r="E78" s="318"/>
      <c r="F78" s="318"/>
      <c r="G78" s="318"/>
      <c r="H78" s="316"/>
      <c r="I78" s="165">
        <f>'Aba Carregamento'!B89</f>
        <v>0</v>
      </c>
      <c r="J78" s="163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 customHeight="1" x14ac:dyDescent="0.2">
      <c r="A79" s="149"/>
      <c r="B79" s="392" t="s">
        <v>381</v>
      </c>
      <c r="C79" s="318"/>
      <c r="D79" s="318"/>
      <c r="E79" s="318"/>
      <c r="F79" s="318"/>
      <c r="G79" s="318"/>
      <c r="H79" s="316"/>
      <c r="I79" s="238">
        <f>'Aba Carregamento'!B88</f>
        <v>0</v>
      </c>
      <c r="J79" s="156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 customHeight="1" x14ac:dyDescent="0.2">
      <c r="A80" s="149" t="s">
        <v>282</v>
      </c>
      <c r="B80" s="379" t="s">
        <v>382</v>
      </c>
      <c r="C80" s="318"/>
      <c r="D80" s="318"/>
      <c r="E80" s="318"/>
      <c r="F80" s="318"/>
      <c r="G80" s="318"/>
      <c r="H80" s="318"/>
      <c r="I80" s="316"/>
      <c r="J80" s="156">
        <v>0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.75" customHeight="1" x14ac:dyDescent="0.2">
      <c r="A81" s="149" t="s">
        <v>284</v>
      </c>
      <c r="B81" s="358" t="s">
        <v>669</v>
      </c>
      <c r="C81" s="318"/>
      <c r="D81" s="318"/>
      <c r="E81" s="318"/>
      <c r="F81" s="318"/>
      <c r="G81" s="318"/>
      <c r="H81" s="318"/>
      <c r="I81" s="316"/>
      <c r="J81" s="156">
        <v>0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 customHeight="1" x14ac:dyDescent="0.2">
      <c r="A82" s="149" t="s">
        <v>336</v>
      </c>
      <c r="B82" s="358" t="s">
        <v>670</v>
      </c>
      <c r="C82" s="318"/>
      <c r="D82" s="318"/>
      <c r="E82" s="318"/>
      <c r="F82" s="318"/>
      <c r="G82" s="318"/>
      <c r="H82" s="318"/>
      <c r="I82" s="316"/>
      <c r="J82" s="170">
        <v>15.02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2.75" customHeight="1" x14ac:dyDescent="0.2">
      <c r="A83" s="149" t="s">
        <v>338</v>
      </c>
      <c r="B83" s="379" t="s">
        <v>386</v>
      </c>
      <c r="C83" s="318"/>
      <c r="D83" s="318"/>
      <c r="E83" s="318"/>
      <c r="F83" s="318"/>
      <c r="G83" s="318"/>
      <c r="H83" s="318"/>
      <c r="I83" s="316"/>
      <c r="J83" s="171" t="s">
        <v>375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 customHeight="1" x14ac:dyDescent="0.2">
      <c r="A84" s="387" t="s">
        <v>342</v>
      </c>
      <c r="B84" s="318"/>
      <c r="C84" s="318"/>
      <c r="D84" s="318"/>
      <c r="E84" s="318"/>
      <c r="F84" s="318"/>
      <c r="G84" s="318"/>
      <c r="H84" s="318"/>
      <c r="I84" s="316"/>
      <c r="J84" s="153">
        <f>SUM(J72:J82)</f>
        <v>15.02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 customHeight="1" x14ac:dyDescent="0.2">
      <c r="A85" s="368"/>
      <c r="B85" s="318"/>
      <c r="C85" s="318"/>
      <c r="D85" s="318"/>
      <c r="E85" s="318"/>
      <c r="F85" s="318"/>
      <c r="G85" s="318"/>
      <c r="H85" s="318"/>
      <c r="I85" s="318"/>
      <c r="J85" s="316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 customHeight="1" x14ac:dyDescent="0.2">
      <c r="A86" s="385" t="s">
        <v>387</v>
      </c>
      <c r="B86" s="318"/>
      <c r="C86" s="318"/>
      <c r="D86" s="318"/>
      <c r="E86" s="318"/>
      <c r="F86" s="318"/>
      <c r="G86" s="318"/>
      <c r="H86" s="318"/>
      <c r="I86" s="318"/>
      <c r="J86" s="316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2.75" customHeight="1" x14ac:dyDescent="0.2">
      <c r="A87" s="368"/>
      <c r="B87" s="318"/>
      <c r="C87" s="318"/>
      <c r="D87" s="318"/>
      <c r="E87" s="318"/>
      <c r="F87" s="318"/>
      <c r="G87" s="318"/>
      <c r="H87" s="318"/>
      <c r="I87" s="318"/>
      <c r="J87" s="316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 customHeight="1" x14ac:dyDescent="0.2">
      <c r="A88" s="376" t="s">
        <v>388</v>
      </c>
      <c r="B88" s="318"/>
      <c r="C88" s="318"/>
      <c r="D88" s="318"/>
      <c r="E88" s="318"/>
      <c r="F88" s="318"/>
      <c r="G88" s="318"/>
      <c r="H88" s="318"/>
      <c r="I88" s="318"/>
      <c r="J88" s="316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 customHeight="1" x14ac:dyDescent="0.2">
      <c r="A89" s="142">
        <v>2</v>
      </c>
      <c r="B89" s="373" t="s">
        <v>389</v>
      </c>
      <c r="C89" s="318"/>
      <c r="D89" s="318"/>
      <c r="E89" s="318"/>
      <c r="F89" s="318"/>
      <c r="G89" s="318"/>
      <c r="H89" s="318"/>
      <c r="I89" s="316"/>
      <c r="J89" s="142" t="s">
        <v>348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 customHeight="1" x14ac:dyDescent="0.2">
      <c r="A90" s="138" t="s">
        <v>346</v>
      </c>
      <c r="B90" s="358" t="s">
        <v>390</v>
      </c>
      <c r="C90" s="318"/>
      <c r="D90" s="318"/>
      <c r="E90" s="318"/>
      <c r="F90" s="318"/>
      <c r="G90" s="318"/>
      <c r="H90" s="318"/>
      <c r="I90" s="316"/>
      <c r="J90" s="172">
        <f>J52</f>
        <v>0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 customHeight="1" x14ac:dyDescent="0.2">
      <c r="A91" s="138" t="s">
        <v>354</v>
      </c>
      <c r="B91" s="358" t="s">
        <v>355</v>
      </c>
      <c r="C91" s="318"/>
      <c r="D91" s="318"/>
      <c r="E91" s="318"/>
      <c r="F91" s="318"/>
      <c r="G91" s="318"/>
      <c r="H91" s="318"/>
      <c r="I91" s="316"/>
      <c r="J91" s="172">
        <f>J66</f>
        <v>0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 customHeight="1" x14ac:dyDescent="0.2">
      <c r="A92" s="138" t="s">
        <v>371</v>
      </c>
      <c r="B92" s="358" t="s">
        <v>372</v>
      </c>
      <c r="C92" s="318"/>
      <c r="D92" s="318"/>
      <c r="E92" s="318"/>
      <c r="F92" s="318"/>
      <c r="G92" s="318"/>
      <c r="H92" s="318"/>
      <c r="I92" s="316"/>
      <c r="J92" s="172">
        <f>J84</f>
        <v>15.02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 customHeight="1" x14ac:dyDescent="0.2">
      <c r="A93" s="374" t="s">
        <v>351</v>
      </c>
      <c r="B93" s="318"/>
      <c r="C93" s="318"/>
      <c r="D93" s="318"/>
      <c r="E93" s="318"/>
      <c r="F93" s="318"/>
      <c r="G93" s="318"/>
      <c r="H93" s="318"/>
      <c r="I93" s="316"/>
      <c r="J93" s="173">
        <f>SUM(J90+J91+J92)</f>
        <v>15.02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 customHeight="1" x14ac:dyDescent="0.2">
      <c r="A94" s="368"/>
      <c r="B94" s="318"/>
      <c r="C94" s="318"/>
      <c r="D94" s="318"/>
      <c r="E94" s="318"/>
      <c r="F94" s="318"/>
      <c r="G94" s="318"/>
      <c r="H94" s="318"/>
      <c r="I94" s="318"/>
      <c r="J94" s="316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2.75" customHeight="1" x14ac:dyDescent="0.2">
      <c r="A95" s="376" t="s">
        <v>391</v>
      </c>
      <c r="B95" s="318"/>
      <c r="C95" s="318"/>
      <c r="D95" s="318"/>
      <c r="E95" s="318"/>
      <c r="F95" s="318"/>
      <c r="G95" s="318"/>
      <c r="H95" s="318"/>
      <c r="I95" s="318"/>
      <c r="J95" s="316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 customHeight="1" x14ac:dyDescent="0.2">
      <c r="A96" s="154">
        <v>3</v>
      </c>
      <c r="B96" s="388" t="s">
        <v>392</v>
      </c>
      <c r="C96" s="318"/>
      <c r="D96" s="318"/>
      <c r="E96" s="318"/>
      <c r="F96" s="318"/>
      <c r="G96" s="318"/>
      <c r="H96" s="318"/>
      <c r="I96" s="316"/>
      <c r="J96" s="154" t="s">
        <v>393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2.75" customHeight="1" x14ac:dyDescent="0.2">
      <c r="A97" s="149" t="s">
        <v>278</v>
      </c>
      <c r="B97" s="358" t="s">
        <v>671</v>
      </c>
      <c r="C97" s="318"/>
      <c r="D97" s="318"/>
      <c r="E97" s="318"/>
      <c r="F97" s="318"/>
      <c r="G97" s="318"/>
      <c r="H97" s="318"/>
      <c r="I97" s="316"/>
      <c r="J97" s="156">
        <f>ROUND((($J$41/12)+($J$48/12)+($J$41/12/12)+($J$49/12))*(30/30)*0.05,2)</f>
        <v>0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 customHeight="1" x14ac:dyDescent="0.2">
      <c r="A98" s="149" t="s">
        <v>280</v>
      </c>
      <c r="B98" s="358" t="s">
        <v>395</v>
      </c>
      <c r="C98" s="318"/>
      <c r="D98" s="318"/>
      <c r="E98" s="318"/>
      <c r="F98" s="318"/>
      <c r="G98" s="318"/>
      <c r="H98" s="318"/>
      <c r="I98" s="316"/>
      <c r="J98" s="156">
        <f>ROUND($J$97*I65,2)</f>
        <v>0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 x14ac:dyDescent="0.2">
      <c r="A99" s="149" t="s">
        <v>282</v>
      </c>
      <c r="B99" s="358" t="s">
        <v>672</v>
      </c>
      <c r="C99" s="318"/>
      <c r="D99" s="318"/>
      <c r="E99" s="318"/>
      <c r="F99" s="318"/>
      <c r="G99" s="318"/>
      <c r="H99" s="318"/>
      <c r="I99" s="316"/>
      <c r="J99" s="156">
        <f>ROUND(0.08*0.4*($J$41+$J$48+$J$49+J110)*0.05,2)</f>
        <v>0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 customHeight="1" x14ac:dyDescent="0.2">
      <c r="A100" s="149" t="s">
        <v>284</v>
      </c>
      <c r="B100" s="358" t="s">
        <v>673</v>
      </c>
      <c r="C100" s="318"/>
      <c r="D100" s="318"/>
      <c r="E100" s="318"/>
      <c r="F100" s="318"/>
      <c r="G100" s="318"/>
      <c r="H100" s="318"/>
      <c r="I100" s="316"/>
      <c r="J100" s="156">
        <f>ROUND(((($J$41/30)*7)/$H$11)*1,2)</f>
        <v>0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 customHeight="1" x14ac:dyDescent="0.2">
      <c r="A101" s="149" t="s">
        <v>336</v>
      </c>
      <c r="B101" s="358" t="s">
        <v>398</v>
      </c>
      <c r="C101" s="318"/>
      <c r="D101" s="318"/>
      <c r="E101" s="318"/>
      <c r="F101" s="318"/>
      <c r="G101" s="318"/>
      <c r="H101" s="318"/>
      <c r="I101" s="316"/>
      <c r="J101" s="156">
        <f>ROUND($I$66*J100,2)</f>
        <v>0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 customHeight="1" x14ac:dyDescent="0.2">
      <c r="A102" s="149" t="s">
        <v>338</v>
      </c>
      <c r="B102" s="358" t="s">
        <v>674</v>
      </c>
      <c r="C102" s="318"/>
      <c r="D102" s="318"/>
      <c r="E102" s="318"/>
      <c r="F102" s="318"/>
      <c r="G102" s="318"/>
      <c r="H102" s="318"/>
      <c r="I102" s="316"/>
      <c r="J102" s="156">
        <f>ROUND(0.08*0.4*($J$41+$J$48+$J$49+J110)*1,2)</f>
        <v>0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 customHeight="1" x14ac:dyDescent="0.2">
      <c r="A103" s="387" t="s">
        <v>351</v>
      </c>
      <c r="B103" s="318"/>
      <c r="C103" s="318"/>
      <c r="D103" s="318"/>
      <c r="E103" s="318"/>
      <c r="F103" s="318"/>
      <c r="G103" s="318"/>
      <c r="H103" s="318"/>
      <c r="I103" s="316"/>
      <c r="J103" s="153">
        <f>SUM(J97:J102)</f>
        <v>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42.75" customHeight="1" x14ac:dyDescent="0.2">
      <c r="A104" s="390" t="s">
        <v>400</v>
      </c>
      <c r="B104" s="318"/>
      <c r="C104" s="318"/>
      <c r="D104" s="318"/>
      <c r="E104" s="318"/>
      <c r="F104" s="318"/>
      <c r="G104" s="318"/>
      <c r="H104" s="318"/>
      <c r="I104" s="318"/>
      <c r="J104" s="316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 customHeight="1" x14ac:dyDescent="0.2">
      <c r="A105" s="376" t="s">
        <v>401</v>
      </c>
      <c r="B105" s="318"/>
      <c r="C105" s="318"/>
      <c r="D105" s="318"/>
      <c r="E105" s="318"/>
      <c r="F105" s="318"/>
      <c r="G105" s="318"/>
      <c r="H105" s="318"/>
      <c r="I105" s="318"/>
      <c r="J105" s="316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 customHeight="1" x14ac:dyDescent="0.2">
      <c r="A106" s="385" t="s">
        <v>402</v>
      </c>
      <c r="B106" s="318"/>
      <c r="C106" s="318"/>
      <c r="D106" s="318"/>
      <c r="E106" s="318"/>
      <c r="F106" s="318"/>
      <c r="G106" s="318"/>
      <c r="H106" s="318"/>
      <c r="I106" s="318"/>
      <c r="J106" s="316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 customHeight="1" x14ac:dyDescent="0.2">
      <c r="A107" s="391" t="s">
        <v>675</v>
      </c>
      <c r="B107" s="318"/>
      <c r="C107" s="318"/>
      <c r="D107" s="318"/>
      <c r="E107" s="318"/>
      <c r="F107" s="318"/>
      <c r="G107" s="318"/>
      <c r="H107" s="318"/>
      <c r="I107" s="316"/>
      <c r="J107" s="174">
        <f>ROUND(J41/12,2)+J41+J48+J49</f>
        <v>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 customHeight="1" x14ac:dyDescent="0.2">
      <c r="A108" s="376" t="s">
        <v>404</v>
      </c>
      <c r="B108" s="318"/>
      <c r="C108" s="318"/>
      <c r="D108" s="318"/>
      <c r="E108" s="318"/>
      <c r="F108" s="318"/>
      <c r="G108" s="318"/>
      <c r="H108" s="318"/>
      <c r="I108" s="318"/>
      <c r="J108" s="316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2.75" customHeight="1" x14ac:dyDescent="0.25">
      <c r="A109" s="175" t="s">
        <v>405</v>
      </c>
      <c r="B109" s="388" t="s">
        <v>406</v>
      </c>
      <c r="C109" s="318"/>
      <c r="D109" s="318"/>
      <c r="E109" s="318"/>
      <c r="F109" s="318"/>
      <c r="G109" s="318"/>
      <c r="H109" s="318"/>
      <c r="I109" s="316"/>
      <c r="J109" s="175" t="s">
        <v>348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2.75" customHeight="1" x14ac:dyDescent="0.2">
      <c r="A110" s="151" t="s">
        <v>278</v>
      </c>
      <c r="B110" s="379" t="s">
        <v>676</v>
      </c>
      <c r="C110" s="318"/>
      <c r="D110" s="318"/>
      <c r="E110" s="318"/>
      <c r="F110" s="318"/>
      <c r="G110" s="318"/>
      <c r="H110" s="318"/>
      <c r="I110" s="316"/>
      <c r="J110" s="156">
        <v>0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 customHeight="1" x14ac:dyDescent="0.2">
      <c r="A111" s="151" t="s">
        <v>280</v>
      </c>
      <c r="B111" s="379" t="s">
        <v>677</v>
      </c>
      <c r="C111" s="318"/>
      <c r="D111" s="318"/>
      <c r="E111" s="318"/>
      <c r="F111" s="318"/>
      <c r="G111" s="318"/>
      <c r="H111" s="318"/>
      <c r="I111" s="316"/>
      <c r="J111" s="176">
        <f>ROUND((($J$107/30)*2.96)/12,2)</f>
        <v>0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 customHeight="1" x14ac:dyDescent="0.2">
      <c r="A112" s="151" t="s">
        <v>282</v>
      </c>
      <c r="B112" s="379" t="s">
        <v>678</v>
      </c>
      <c r="C112" s="318"/>
      <c r="D112" s="318"/>
      <c r="E112" s="318"/>
      <c r="F112" s="318"/>
      <c r="G112" s="318"/>
      <c r="H112" s="318"/>
      <c r="I112" s="316"/>
      <c r="J112" s="176">
        <f>ROUND((($J$107/30)*5)/12*0.015,2)</f>
        <v>0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 customHeight="1" x14ac:dyDescent="0.2">
      <c r="A113" s="151" t="s">
        <v>284</v>
      </c>
      <c r="B113" s="379" t="s">
        <v>679</v>
      </c>
      <c r="C113" s="318"/>
      <c r="D113" s="318"/>
      <c r="E113" s="318"/>
      <c r="F113" s="318"/>
      <c r="G113" s="318"/>
      <c r="H113" s="318"/>
      <c r="I113" s="316"/>
      <c r="J113" s="152">
        <f>ROUND(((($J$107/30)*15)/12)*0.0078,2)</f>
        <v>0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2.75" customHeight="1" x14ac:dyDescent="0.2">
      <c r="A114" s="151" t="s">
        <v>336</v>
      </c>
      <c r="B114" s="379" t="s">
        <v>680</v>
      </c>
      <c r="C114" s="318"/>
      <c r="D114" s="318"/>
      <c r="E114" s="318"/>
      <c r="F114" s="318"/>
      <c r="G114" s="318"/>
      <c r="H114" s="318"/>
      <c r="I114" s="316"/>
      <c r="J114" s="156">
        <f>ROUND(((($J$41+$J$41/3)*4/12)/12)*0.02,2)</f>
        <v>0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 customHeight="1" x14ac:dyDescent="0.2">
      <c r="A115" s="177" t="s">
        <v>338</v>
      </c>
      <c r="B115" s="393" t="s">
        <v>681</v>
      </c>
      <c r="C115" s="318"/>
      <c r="D115" s="318"/>
      <c r="E115" s="318"/>
      <c r="F115" s="318"/>
      <c r="G115" s="318"/>
      <c r="H115" s="318"/>
      <c r="I115" s="316"/>
      <c r="J115" s="152">
        <f>ROUND(((($J$107/30)*5)/12),2)</f>
        <v>0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2.75" customHeight="1" x14ac:dyDescent="0.2">
      <c r="A116" s="387" t="s">
        <v>351</v>
      </c>
      <c r="B116" s="318"/>
      <c r="C116" s="318"/>
      <c r="D116" s="318"/>
      <c r="E116" s="318"/>
      <c r="F116" s="318"/>
      <c r="G116" s="318"/>
      <c r="H116" s="318"/>
      <c r="I116" s="316"/>
      <c r="J116" s="178">
        <f>SUM(J110:J115)</f>
        <v>0</v>
      </c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2.75" customHeight="1" x14ac:dyDescent="0.2">
      <c r="A117" s="151" t="s">
        <v>340</v>
      </c>
      <c r="B117" s="379" t="s">
        <v>682</v>
      </c>
      <c r="C117" s="318"/>
      <c r="D117" s="318"/>
      <c r="E117" s="318"/>
      <c r="F117" s="318"/>
      <c r="G117" s="318"/>
      <c r="H117" s="318"/>
      <c r="I117" s="316"/>
      <c r="J117" s="152">
        <f>ROUND(I66*J116,2)</f>
        <v>0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2.75" customHeight="1" x14ac:dyDescent="0.2">
      <c r="A118" s="387" t="s">
        <v>351</v>
      </c>
      <c r="B118" s="318"/>
      <c r="C118" s="318"/>
      <c r="D118" s="318"/>
      <c r="E118" s="318"/>
      <c r="F118" s="318"/>
      <c r="G118" s="318"/>
      <c r="H118" s="318"/>
      <c r="I118" s="316"/>
      <c r="J118" s="153">
        <f>SUM(J116:J117)</f>
        <v>0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67.5" customHeight="1" x14ac:dyDescent="0.2">
      <c r="A119" s="385" t="s">
        <v>596</v>
      </c>
      <c r="B119" s="318"/>
      <c r="C119" s="318"/>
      <c r="D119" s="318"/>
      <c r="E119" s="318"/>
      <c r="F119" s="318"/>
      <c r="G119" s="318"/>
      <c r="H119" s="318"/>
      <c r="I119" s="318"/>
      <c r="J119" s="316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2.75" customHeight="1" x14ac:dyDescent="0.2">
      <c r="A120" s="383"/>
      <c r="B120" s="318"/>
      <c r="C120" s="318"/>
      <c r="D120" s="318"/>
      <c r="E120" s="318"/>
      <c r="F120" s="318"/>
      <c r="G120" s="318"/>
      <c r="H120" s="318"/>
      <c r="I120" s="318"/>
      <c r="J120" s="316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2.75" customHeight="1" x14ac:dyDescent="0.2">
      <c r="A121" s="376" t="s">
        <v>414</v>
      </c>
      <c r="B121" s="318"/>
      <c r="C121" s="318"/>
      <c r="D121" s="318"/>
      <c r="E121" s="318"/>
      <c r="F121" s="318"/>
      <c r="G121" s="318"/>
      <c r="H121" s="318"/>
      <c r="I121" s="318"/>
      <c r="J121" s="316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 customHeight="1" x14ac:dyDescent="0.2">
      <c r="A122" s="154" t="s">
        <v>415</v>
      </c>
      <c r="B122" s="388" t="s">
        <v>416</v>
      </c>
      <c r="C122" s="318"/>
      <c r="D122" s="318"/>
      <c r="E122" s="318"/>
      <c r="F122" s="318"/>
      <c r="G122" s="318"/>
      <c r="H122" s="318"/>
      <c r="I122" s="316"/>
      <c r="J122" s="179" t="s">
        <v>348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2.75" customHeight="1" x14ac:dyDescent="0.2">
      <c r="A123" s="149" t="s">
        <v>278</v>
      </c>
      <c r="B123" s="379" t="s">
        <v>417</v>
      </c>
      <c r="C123" s="318"/>
      <c r="D123" s="318"/>
      <c r="E123" s="318"/>
      <c r="F123" s="318"/>
      <c r="G123" s="318"/>
      <c r="H123" s="318"/>
      <c r="I123" s="316"/>
      <c r="J123" s="156">
        <v>0</v>
      </c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 customHeight="1" x14ac:dyDescent="0.2">
      <c r="A124" s="420" t="s">
        <v>351</v>
      </c>
      <c r="B124" s="318"/>
      <c r="C124" s="318"/>
      <c r="D124" s="318"/>
      <c r="E124" s="318"/>
      <c r="F124" s="318"/>
      <c r="G124" s="318"/>
      <c r="H124" s="318"/>
      <c r="I124" s="316"/>
      <c r="J124" s="156">
        <v>0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2.75" customHeight="1" x14ac:dyDescent="0.2">
      <c r="A125" s="151" t="s">
        <v>280</v>
      </c>
      <c r="B125" s="379" t="s">
        <v>418</v>
      </c>
      <c r="C125" s="318"/>
      <c r="D125" s="318"/>
      <c r="E125" s="318"/>
      <c r="F125" s="318"/>
      <c r="G125" s="318"/>
      <c r="H125" s="318"/>
      <c r="I125" s="316"/>
      <c r="J125" s="152">
        <f>ROUND(I66*J124,2)</f>
        <v>0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2.75" customHeight="1" x14ac:dyDescent="0.2">
      <c r="A126" s="387" t="s">
        <v>351</v>
      </c>
      <c r="B126" s="318"/>
      <c r="C126" s="318"/>
      <c r="D126" s="318"/>
      <c r="E126" s="318"/>
      <c r="F126" s="318"/>
      <c r="G126" s="318"/>
      <c r="H126" s="318"/>
      <c r="I126" s="316"/>
      <c r="J126" s="153">
        <f>SUM(J124:J125)</f>
        <v>0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2.75" customHeight="1" x14ac:dyDescent="0.2">
      <c r="A127" s="383"/>
      <c r="B127" s="318"/>
      <c r="C127" s="318"/>
      <c r="D127" s="318"/>
      <c r="E127" s="318"/>
      <c r="F127" s="318"/>
      <c r="G127" s="318"/>
      <c r="H127" s="318"/>
      <c r="I127" s="318"/>
      <c r="J127" s="316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2.75" customHeight="1" x14ac:dyDescent="0.2">
      <c r="A128" s="385" t="s">
        <v>419</v>
      </c>
      <c r="B128" s="318"/>
      <c r="C128" s="318"/>
      <c r="D128" s="318"/>
      <c r="E128" s="318"/>
      <c r="F128" s="318"/>
      <c r="G128" s="318"/>
      <c r="H128" s="318"/>
      <c r="I128" s="318"/>
      <c r="J128" s="316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2.75" customHeight="1" x14ac:dyDescent="0.2">
      <c r="A129" s="383"/>
      <c r="B129" s="318"/>
      <c r="C129" s="318"/>
      <c r="D129" s="318"/>
      <c r="E129" s="318"/>
      <c r="F129" s="318"/>
      <c r="G129" s="318"/>
      <c r="H129" s="318"/>
      <c r="I129" s="318"/>
      <c r="J129" s="316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75" customHeight="1" x14ac:dyDescent="0.2">
      <c r="A130" s="376" t="s">
        <v>420</v>
      </c>
      <c r="B130" s="318"/>
      <c r="C130" s="318"/>
      <c r="D130" s="318"/>
      <c r="E130" s="318"/>
      <c r="F130" s="318"/>
      <c r="G130" s="318"/>
      <c r="H130" s="318"/>
      <c r="I130" s="318"/>
      <c r="J130" s="316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 customHeight="1" x14ac:dyDescent="0.2">
      <c r="A131" s="142">
        <v>4</v>
      </c>
      <c r="B131" s="373" t="s">
        <v>421</v>
      </c>
      <c r="C131" s="318"/>
      <c r="D131" s="318"/>
      <c r="E131" s="318"/>
      <c r="F131" s="318"/>
      <c r="G131" s="318"/>
      <c r="H131" s="318"/>
      <c r="I131" s="316"/>
      <c r="J131" s="179" t="s">
        <v>348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75" customHeight="1" x14ac:dyDescent="0.2">
      <c r="A132" s="138" t="s">
        <v>405</v>
      </c>
      <c r="B132" s="358" t="s">
        <v>406</v>
      </c>
      <c r="C132" s="318"/>
      <c r="D132" s="318"/>
      <c r="E132" s="318"/>
      <c r="F132" s="318"/>
      <c r="G132" s="318"/>
      <c r="H132" s="318"/>
      <c r="I132" s="316"/>
      <c r="J132" s="156">
        <f>J118</f>
        <v>0</v>
      </c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75" customHeight="1" x14ac:dyDescent="0.2">
      <c r="A133" s="138" t="s">
        <v>422</v>
      </c>
      <c r="B133" s="358" t="s">
        <v>416</v>
      </c>
      <c r="C133" s="318"/>
      <c r="D133" s="318"/>
      <c r="E133" s="318"/>
      <c r="F133" s="318"/>
      <c r="G133" s="318"/>
      <c r="H133" s="318"/>
      <c r="I133" s="316"/>
      <c r="J133" s="156">
        <f>J126</f>
        <v>0</v>
      </c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75" customHeight="1" x14ac:dyDescent="0.2">
      <c r="A134" s="374" t="s">
        <v>351</v>
      </c>
      <c r="B134" s="318"/>
      <c r="C134" s="318"/>
      <c r="D134" s="318"/>
      <c r="E134" s="318"/>
      <c r="F134" s="318"/>
      <c r="G134" s="318"/>
      <c r="H134" s="318"/>
      <c r="I134" s="316"/>
      <c r="J134" s="153">
        <f>SUM(J132+J133)</f>
        <v>0</v>
      </c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75" customHeight="1" x14ac:dyDescent="0.2">
      <c r="A135" s="368"/>
      <c r="B135" s="318"/>
      <c r="C135" s="318"/>
      <c r="D135" s="318"/>
      <c r="E135" s="318"/>
      <c r="F135" s="318"/>
      <c r="G135" s="318"/>
      <c r="H135" s="318"/>
      <c r="I135" s="318"/>
      <c r="J135" s="316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75" customHeight="1" x14ac:dyDescent="0.2">
      <c r="A136" s="376" t="s">
        <v>423</v>
      </c>
      <c r="B136" s="318"/>
      <c r="C136" s="318"/>
      <c r="D136" s="318"/>
      <c r="E136" s="318"/>
      <c r="F136" s="318"/>
      <c r="G136" s="318"/>
      <c r="H136" s="318"/>
      <c r="I136" s="318"/>
      <c r="J136" s="316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 customHeight="1" x14ac:dyDescent="0.2">
      <c r="A137" s="154">
        <v>5</v>
      </c>
      <c r="B137" s="388" t="s">
        <v>424</v>
      </c>
      <c r="C137" s="318"/>
      <c r="D137" s="318"/>
      <c r="E137" s="318"/>
      <c r="F137" s="318"/>
      <c r="G137" s="318"/>
      <c r="H137" s="318"/>
      <c r="I137" s="316"/>
      <c r="J137" s="154" t="s">
        <v>348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 customHeight="1" x14ac:dyDescent="0.2">
      <c r="A138" s="149" t="s">
        <v>278</v>
      </c>
      <c r="B138" s="379" t="s">
        <v>425</v>
      </c>
      <c r="C138" s="318"/>
      <c r="D138" s="318"/>
      <c r="E138" s="318"/>
      <c r="F138" s="318"/>
      <c r="G138" s="318"/>
      <c r="H138" s="318"/>
      <c r="I138" s="316"/>
      <c r="J138" s="156">
        <f>Insumos!F124</f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 customHeight="1" x14ac:dyDescent="0.2">
      <c r="A139" s="149" t="s">
        <v>280</v>
      </c>
      <c r="B139" s="379" t="s">
        <v>426</v>
      </c>
      <c r="C139" s="318"/>
      <c r="D139" s="318"/>
      <c r="E139" s="318"/>
      <c r="F139" s="318"/>
      <c r="G139" s="318"/>
      <c r="H139" s="318"/>
      <c r="I139" s="316"/>
      <c r="J139" s="169">
        <v>0</v>
      </c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 customHeight="1" x14ac:dyDescent="0.2">
      <c r="A140" s="149" t="s">
        <v>282</v>
      </c>
      <c r="B140" s="379" t="s">
        <v>427</v>
      </c>
      <c r="C140" s="318"/>
      <c r="D140" s="318"/>
      <c r="E140" s="318"/>
      <c r="F140" s="318"/>
      <c r="G140" s="318"/>
      <c r="H140" s="318"/>
      <c r="I140" s="316"/>
      <c r="J140" s="169">
        <v>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 customHeight="1" x14ac:dyDescent="0.2">
      <c r="A141" s="149" t="s">
        <v>284</v>
      </c>
      <c r="B141" s="379" t="s">
        <v>428</v>
      </c>
      <c r="C141" s="318"/>
      <c r="D141" s="318"/>
      <c r="E141" s="318"/>
      <c r="F141" s="318"/>
      <c r="G141" s="318"/>
      <c r="H141" s="318"/>
      <c r="I141" s="316"/>
      <c r="J141" s="169" t="s">
        <v>429</v>
      </c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 customHeight="1" x14ac:dyDescent="0.2">
      <c r="A142" s="387" t="s">
        <v>342</v>
      </c>
      <c r="B142" s="318"/>
      <c r="C142" s="318"/>
      <c r="D142" s="318"/>
      <c r="E142" s="318"/>
      <c r="F142" s="318"/>
      <c r="G142" s="318"/>
      <c r="H142" s="318"/>
      <c r="I142" s="316"/>
      <c r="J142" s="181">
        <f>SUM(J138:J141)</f>
        <v>0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 customHeight="1" x14ac:dyDescent="0.2">
      <c r="A143" s="368"/>
      <c r="B143" s="318"/>
      <c r="C143" s="318"/>
      <c r="D143" s="318"/>
      <c r="E143" s="318"/>
      <c r="F143" s="318"/>
      <c r="G143" s="318"/>
      <c r="H143" s="318"/>
      <c r="I143" s="318"/>
      <c r="J143" s="316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 customHeight="1" x14ac:dyDescent="0.2">
      <c r="A144" s="385" t="s">
        <v>430</v>
      </c>
      <c r="B144" s="318"/>
      <c r="C144" s="318"/>
      <c r="D144" s="318"/>
      <c r="E144" s="318"/>
      <c r="F144" s="318"/>
      <c r="G144" s="318"/>
      <c r="H144" s="318"/>
      <c r="I144" s="318"/>
      <c r="J144" s="316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 customHeight="1" x14ac:dyDescent="0.2">
      <c r="A145" s="368"/>
      <c r="B145" s="318"/>
      <c r="C145" s="318"/>
      <c r="D145" s="318"/>
      <c r="E145" s="318"/>
      <c r="F145" s="318"/>
      <c r="G145" s="318"/>
      <c r="H145" s="318"/>
      <c r="I145" s="318"/>
      <c r="J145" s="316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 customHeight="1" x14ac:dyDescent="0.2">
      <c r="A146" s="376" t="s">
        <v>431</v>
      </c>
      <c r="B146" s="318"/>
      <c r="C146" s="318"/>
      <c r="D146" s="318"/>
      <c r="E146" s="318"/>
      <c r="F146" s="318"/>
      <c r="G146" s="318"/>
      <c r="H146" s="318"/>
      <c r="I146" s="318"/>
      <c r="J146" s="316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75" customHeight="1" x14ac:dyDescent="0.2">
      <c r="A147" s="154">
        <v>6</v>
      </c>
      <c r="B147" s="388" t="s">
        <v>432</v>
      </c>
      <c r="C147" s="318"/>
      <c r="D147" s="318"/>
      <c r="E147" s="318"/>
      <c r="F147" s="318"/>
      <c r="G147" s="318"/>
      <c r="H147" s="316"/>
      <c r="I147" s="142" t="s">
        <v>356</v>
      </c>
      <c r="J147" s="182" t="s">
        <v>433</v>
      </c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 customHeight="1" x14ac:dyDescent="0.2">
      <c r="A148" s="355" t="s">
        <v>434</v>
      </c>
      <c r="B148" s="318"/>
      <c r="C148" s="318"/>
      <c r="D148" s="318"/>
      <c r="E148" s="318"/>
      <c r="F148" s="318"/>
      <c r="G148" s="318"/>
      <c r="H148" s="316"/>
      <c r="I148" s="183" t="s">
        <v>375</v>
      </c>
      <c r="J148" s="141">
        <f>SUM(J41+J93+J103+J134+J142)</f>
        <v>15.02</v>
      </c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75" customHeight="1" x14ac:dyDescent="0.2">
      <c r="A149" s="184" t="s">
        <v>278</v>
      </c>
      <c r="B149" s="407" t="s">
        <v>435</v>
      </c>
      <c r="C149" s="318"/>
      <c r="D149" s="318"/>
      <c r="E149" s="318"/>
      <c r="F149" s="318"/>
      <c r="G149" s="318"/>
      <c r="H149" s="316"/>
      <c r="I149" s="185">
        <f>'Aba Carregamento'!B99</f>
        <v>0</v>
      </c>
      <c r="J149" s="156">
        <f>ROUND(J148*I149,2)</f>
        <v>0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 customHeight="1" x14ac:dyDescent="0.2">
      <c r="A150" s="355" t="s">
        <v>436</v>
      </c>
      <c r="B150" s="318"/>
      <c r="C150" s="318"/>
      <c r="D150" s="318"/>
      <c r="E150" s="318"/>
      <c r="F150" s="318"/>
      <c r="G150" s="318"/>
      <c r="H150" s="316"/>
      <c r="I150" s="186" t="s">
        <v>375</v>
      </c>
      <c r="J150" s="141">
        <f>SUM(J41+J93+J103+J134+J142+J149)</f>
        <v>15.02</v>
      </c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 customHeight="1" x14ac:dyDescent="0.2">
      <c r="A151" s="184" t="s">
        <v>280</v>
      </c>
      <c r="B151" s="407" t="s">
        <v>86</v>
      </c>
      <c r="C151" s="318"/>
      <c r="D151" s="318"/>
      <c r="E151" s="318"/>
      <c r="F151" s="318"/>
      <c r="G151" s="318"/>
      <c r="H151" s="316"/>
      <c r="I151" s="185">
        <f>'Aba Carregamento'!B100</f>
        <v>0</v>
      </c>
      <c r="J151" s="156">
        <f>ROUND(J150*I151,2)</f>
        <v>0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 customHeight="1" x14ac:dyDescent="0.2">
      <c r="A152" s="355" t="s">
        <v>437</v>
      </c>
      <c r="B152" s="318"/>
      <c r="C152" s="318"/>
      <c r="D152" s="318"/>
      <c r="E152" s="318"/>
      <c r="F152" s="318"/>
      <c r="G152" s="318"/>
      <c r="H152" s="316"/>
      <c r="I152" s="186" t="s">
        <v>375</v>
      </c>
      <c r="J152" s="141">
        <f>SUM(J41+J93+J103+J134+J142+J149+J151)</f>
        <v>15.02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 customHeight="1" x14ac:dyDescent="0.2">
      <c r="A153" s="184" t="s">
        <v>282</v>
      </c>
      <c r="B153" s="407" t="s">
        <v>438</v>
      </c>
      <c r="C153" s="318"/>
      <c r="D153" s="318"/>
      <c r="E153" s="318"/>
      <c r="F153" s="318"/>
      <c r="G153" s="318"/>
      <c r="H153" s="316"/>
      <c r="I153" s="187" t="s">
        <v>375</v>
      </c>
      <c r="J153" s="163" t="s">
        <v>375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 customHeight="1" x14ac:dyDescent="0.2">
      <c r="A154" s="149"/>
      <c r="B154" s="379" t="s">
        <v>440</v>
      </c>
      <c r="C154" s="318"/>
      <c r="D154" s="318"/>
      <c r="E154" s="318"/>
      <c r="F154" s="318"/>
      <c r="G154" s="318"/>
      <c r="H154" s="316"/>
      <c r="I154" s="187" t="s">
        <v>375</v>
      </c>
      <c r="J154" s="163" t="s">
        <v>375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 customHeight="1" x14ac:dyDescent="0.2">
      <c r="A155" s="149"/>
      <c r="B155" s="379" t="s">
        <v>683</v>
      </c>
      <c r="C155" s="318"/>
      <c r="D155" s="318"/>
      <c r="E155" s="318"/>
      <c r="F155" s="318"/>
      <c r="G155" s="318"/>
      <c r="H155" s="316"/>
      <c r="I155" s="191">
        <f>'Aba Carregamento'!B103</f>
        <v>0</v>
      </c>
      <c r="J155" s="156">
        <f t="shared" ref="J155:J156" si="2">ROUND(($J$152/(1-$I$164))*I155,2)</f>
        <v>0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75" customHeight="1" x14ac:dyDescent="0.2">
      <c r="A156" s="149"/>
      <c r="B156" s="379" t="s">
        <v>684</v>
      </c>
      <c r="C156" s="318"/>
      <c r="D156" s="318"/>
      <c r="E156" s="318"/>
      <c r="F156" s="318"/>
      <c r="G156" s="318"/>
      <c r="H156" s="316"/>
      <c r="I156" s="191">
        <f>'Aba Carregamento'!B102</f>
        <v>0</v>
      </c>
      <c r="J156" s="156">
        <f t="shared" si="2"/>
        <v>0</v>
      </c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 customHeight="1" x14ac:dyDescent="0.2">
      <c r="A157" s="149"/>
      <c r="B157" s="358" t="s">
        <v>685</v>
      </c>
      <c r="C157" s="318"/>
      <c r="D157" s="318"/>
      <c r="E157" s="318"/>
      <c r="F157" s="318"/>
      <c r="G157" s="318"/>
      <c r="H157" s="316"/>
      <c r="I157" s="193" t="s">
        <v>375</v>
      </c>
      <c r="J157" s="163" t="s">
        <v>375</v>
      </c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75" customHeight="1" x14ac:dyDescent="0.2">
      <c r="A158" s="149"/>
      <c r="B158" s="358" t="s">
        <v>686</v>
      </c>
      <c r="C158" s="318"/>
      <c r="D158" s="318"/>
      <c r="E158" s="318"/>
      <c r="F158" s="318"/>
      <c r="G158" s="318"/>
      <c r="H158" s="316"/>
      <c r="I158" s="193" t="s">
        <v>375</v>
      </c>
      <c r="J158" s="163" t="s">
        <v>375</v>
      </c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75" customHeight="1" x14ac:dyDescent="0.2">
      <c r="A159" s="149"/>
      <c r="B159" s="379" t="s">
        <v>449</v>
      </c>
      <c r="C159" s="318"/>
      <c r="D159" s="318"/>
      <c r="E159" s="318"/>
      <c r="F159" s="318"/>
      <c r="G159" s="318"/>
      <c r="H159" s="316"/>
      <c r="I159" s="193" t="s">
        <v>375</v>
      </c>
      <c r="J159" s="163" t="s">
        <v>375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75" customHeight="1" x14ac:dyDescent="0.2">
      <c r="A160" s="149"/>
      <c r="B160" s="379" t="s">
        <v>450</v>
      </c>
      <c r="C160" s="318"/>
      <c r="D160" s="318"/>
      <c r="E160" s="318"/>
      <c r="F160" s="318"/>
      <c r="G160" s="318"/>
      <c r="H160" s="316"/>
      <c r="I160" s="193" t="s">
        <v>375</v>
      </c>
      <c r="J160" s="163" t="s">
        <v>375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75" customHeight="1" x14ac:dyDescent="0.2">
      <c r="A161" s="149"/>
      <c r="B161" s="379" t="s">
        <v>687</v>
      </c>
      <c r="C161" s="318"/>
      <c r="D161" s="318"/>
      <c r="E161" s="318"/>
      <c r="F161" s="318"/>
      <c r="G161" s="318"/>
      <c r="H161" s="316"/>
      <c r="I161" s="195">
        <v>2.5000000000000001E-2</v>
      </c>
      <c r="J161" s="156">
        <f>ROUND(($J$152/(1-$I$164))*I161,2)</f>
        <v>0.39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75" customHeight="1" x14ac:dyDescent="0.2">
      <c r="A162" s="387" t="s">
        <v>351</v>
      </c>
      <c r="B162" s="318"/>
      <c r="C162" s="318"/>
      <c r="D162" s="318"/>
      <c r="E162" s="318"/>
      <c r="F162" s="318"/>
      <c r="G162" s="318"/>
      <c r="H162" s="318"/>
      <c r="I162" s="316"/>
      <c r="J162" s="153">
        <f>SUM(J149+J151+J155+J156+J161)</f>
        <v>0.39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 customHeight="1" x14ac:dyDescent="0.2">
      <c r="A163" s="368"/>
      <c r="B163" s="318"/>
      <c r="C163" s="318"/>
      <c r="D163" s="318"/>
      <c r="E163" s="318"/>
      <c r="F163" s="318"/>
      <c r="G163" s="318"/>
      <c r="H163" s="318"/>
      <c r="I163" s="318"/>
      <c r="J163" s="316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75" customHeight="1" x14ac:dyDescent="0.2">
      <c r="A164" s="384" t="s">
        <v>452</v>
      </c>
      <c r="B164" s="318"/>
      <c r="C164" s="318"/>
      <c r="D164" s="318"/>
      <c r="E164" s="318"/>
      <c r="F164" s="318"/>
      <c r="G164" s="318"/>
      <c r="H164" s="316"/>
      <c r="I164" s="196">
        <f t="shared" ref="I164:J164" si="3">SUM(I155:I161)</f>
        <v>2.5000000000000001E-2</v>
      </c>
      <c r="J164" s="141">
        <f t="shared" si="3"/>
        <v>0.39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 customHeight="1" x14ac:dyDescent="0.2">
      <c r="A165" s="408" t="s">
        <v>453</v>
      </c>
      <c r="B165" s="409"/>
      <c r="C165" s="410"/>
      <c r="D165" s="416" t="s">
        <v>454</v>
      </c>
      <c r="E165" s="318"/>
      <c r="F165" s="318"/>
      <c r="G165" s="318"/>
      <c r="H165" s="318"/>
      <c r="I165" s="318"/>
      <c r="J165" s="316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 customHeight="1" x14ac:dyDescent="0.2">
      <c r="A166" s="411"/>
      <c r="B166" s="311"/>
      <c r="C166" s="412"/>
      <c r="D166" s="416" t="s">
        <v>455</v>
      </c>
      <c r="E166" s="318"/>
      <c r="F166" s="318"/>
      <c r="G166" s="318"/>
      <c r="H166" s="318"/>
      <c r="I166" s="318"/>
      <c r="J166" s="316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 customHeight="1" x14ac:dyDescent="0.2">
      <c r="A167" s="413"/>
      <c r="B167" s="414"/>
      <c r="C167" s="415"/>
      <c r="D167" s="416" t="s">
        <v>456</v>
      </c>
      <c r="E167" s="318"/>
      <c r="F167" s="318"/>
      <c r="G167" s="318"/>
      <c r="H167" s="318"/>
      <c r="I167" s="318"/>
      <c r="J167" s="316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 customHeight="1" x14ac:dyDescent="0.2">
      <c r="A168" s="368"/>
      <c r="B168" s="318"/>
      <c r="C168" s="318"/>
      <c r="D168" s="318"/>
      <c r="E168" s="318"/>
      <c r="F168" s="318"/>
      <c r="G168" s="318"/>
      <c r="H168" s="318"/>
      <c r="I168" s="318"/>
      <c r="J168" s="316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 customHeight="1" x14ac:dyDescent="0.2">
      <c r="A169" s="353" t="s">
        <v>457</v>
      </c>
      <c r="B169" s="318"/>
      <c r="C169" s="318"/>
      <c r="D169" s="318"/>
      <c r="E169" s="318"/>
      <c r="F169" s="318"/>
      <c r="G169" s="318"/>
      <c r="H169" s="318"/>
      <c r="I169" s="318"/>
      <c r="J169" s="316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 customHeight="1" x14ac:dyDescent="0.2">
      <c r="A170" s="368"/>
      <c r="B170" s="318"/>
      <c r="C170" s="318"/>
      <c r="D170" s="318"/>
      <c r="E170" s="318"/>
      <c r="F170" s="318"/>
      <c r="G170" s="318"/>
      <c r="H170" s="318"/>
      <c r="I170" s="318"/>
      <c r="J170" s="316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 customHeight="1" x14ac:dyDescent="0.2">
      <c r="A171" s="417" t="s">
        <v>458</v>
      </c>
      <c r="B171" s="318"/>
      <c r="C171" s="318"/>
      <c r="D171" s="318"/>
      <c r="E171" s="318"/>
      <c r="F171" s="318"/>
      <c r="G171" s="318"/>
      <c r="H171" s="318"/>
      <c r="I171" s="318"/>
      <c r="J171" s="316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75" customHeight="1" x14ac:dyDescent="0.2">
      <c r="A172" s="418" t="s">
        <v>459</v>
      </c>
      <c r="B172" s="318"/>
      <c r="C172" s="318"/>
      <c r="D172" s="318"/>
      <c r="E172" s="318"/>
      <c r="F172" s="318"/>
      <c r="G172" s="318"/>
      <c r="H172" s="318"/>
      <c r="I172" s="316"/>
      <c r="J172" s="197" t="s">
        <v>348</v>
      </c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 customHeight="1" x14ac:dyDescent="0.2">
      <c r="A173" s="198" t="s">
        <v>278</v>
      </c>
      <c r="B173" s="419" t="s">
        <v>460</v>
      </c>
      <c r="C173" s="318"/>
      <c r="D173" s="318"/>
      <c r="E173" s="318"/>
      <c r="F173" s="318"/>
      <c r="G173" s="318"/>
      <c r="H173" s="318"/>
      <c r="I173" s="316"/>
      <c r="J173" s="169">
        <f>J41</f>
        <v>0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75" customHeight="1" x14ac:dyDescent="0.2">
      <c r="A174" s="198" t="s">
        <v>280</v>
      </c>
      <c r="B174" s="419" t="s">
        <v>344</v>
      </c>
      <c r="C174" s="318"/>
      <c r="D174" s="318"/>
      <c r="E174" s="318"/>
      <c r="F174" s="318"/>
      <c r="G174" s="318"/>
      <c r="H174" s="318"/>
      <c r="I174" s="316"/>
      <c r="J174" s="169">
        <f>J93</f>
        <v>15.02</v>
      </c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 customHeight="1" x14ac:dyDescent="0.2">
      <c r="A175" s="198" t="s">
        <v>282</v>
      </c>
      <c r="B175" s="419" t="s">
        <v>461</v>
      </c>
      <c r="C175" s="318"/>
      <c r="D175" s="318"/>
      <c r="E175" s="318"/>
      <c r="F175" s="318"/>
      <c r="G175" s="318"/>
      <c r="H175" s="318"/>
      <c r="I175" s="316"/>
      <c r="J175" s="169">
        <f>J103</f>
        <v>0</v>
      </c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75" customHeight="1" x14ac:dyDescent="0.2">
      <c r="A176" s="198" t="s">
        <v>284</v>
      </c>
      <c r="B176" s="419" t="s">
        <v>462</v>
      </c>
      <c r="C176" s="318"/>
      <c r="D176" s="318"/>
      <c r="E176" s="318"/>
      <c r="F176" s="318"/>
      <c r="G176" s="318"/>
      <c r="H176" s="318"/>
      <c r="I176" s="316"/>
      <c r="J176" s="169">
        <f>J134</f>
        <v>0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 customHeight="1" x14ac:dyDescent="0.2">
      <c r="A177" s="198" t="s">
        <v>336</v>
      </c>
      <c r="B177" s="419" t="s">
        <v>463</v>
      </c>
      <c r="C177" s="318"/>
      <c r="D177" s="318"/>
      <c r="E177" s="318"/>
      <c r="F177" s="318"/>
      <c r="G177" s="318"/>
      <c r="H177" s="318"/>
      <c r="I177" s="316"/>
      <c r="J177" s="170">
        <f>J142</f>
        <v>0</v>
      </c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75" customHeight="1" x14ac:dyDescent="0.2">
      <c r="A178" s="422" t="s">
        <v>464</v>
      </c>
      <c r="B178" s="318"/>
      <c r="C178" s="318"/>
      <c r="D178" s="318"/>
      <c r="E178" s="318"/>
      <c r="F178" s="318"/>
      <c r="G178" s="318"/>
      <c r="H178" s="318"/>
      <c r="I178" s="316"/>
      <c r="J178" s="181">
        <f>SUM(J173:J177)</f>
        <v>15.02</v>
      </c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 customHeight="1" x14ac:dyDescent="0.2">
      <c r="A179" s="198" t="s">
        <v>338</v>
      </c>
      <c r="B179" s="419" t="s">
        <v>465</v>
      </c>
      <c r="C179" s="318"/>
      <c r="D179" s="318"/>
      <c r="E179" s="318"/>
      <c r="F179" s="318"/>
      <c r="G179" s="318"/>
      <c r="H179" s="318"/>
      <c r="I179" s="316"/>
      <c r="J179" s="169">
        <f>J162</f>
        <v>0.39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 customHeight="1" x14ac:dyDescent="0.2">
      <c r="A180" s="422" t="s">
        <v>466</v>
      </c>
      <c r="B180" s="318"/>
      <c r="C180" s="318"/>
      <c r="D180" s="318"/>
      <c r="E180" s="318"/>
      <c r="F180" s="318"/>
      <c r="G180" s="318"/>
      <c r="H180" s="318"/>
      <c r="I180" s="316"/>
      <c r="J180" s="181">
        <f>ROUND(SUM(J178:J179),2)</f>
        <v>15.41</v>
      </c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 x14ac:dyDescent="0.2">
      <c r="A181" s="426" t="s">
        <v>467</v>
      </c>
      <c r="B181" s="318"/>
      <c r="C181" s="318"/>
      <c r="D181" s="318"/>
      <c r="E181" s="318"/>
      <c r="F181" s="318"/>
      <c r="G181" s="318"/>
      <c r="H181" s="318"/>
      <c r="I181" s="318"/>
      <c r="J181" s="316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 x14ac:dyDescent="0.2">
      <c r="A182" s="358" t="s">
        <v>468</v>
      </c>
      <c r="B182" s="318"/>
      <c r="C182" s="318"/>
      <c r="D182" s="318"/>
      <c r="E182" s="318"/>
      <c r="F182" s="318"/>
      <c r="G182" s="318"/>
      <c r="H182" s="318"/>
      <c r="I182" s="318"/>
      <c r="J182" s="316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46.5" customHeight="1" x14ac:dyDescent="0.2">
      <c r="A183" s="427" t="s">
        <v>470</v>
      </c>
      <c r="B183" s="318"/>
      <c r="C183" s="316"/>
      <c r="D183" s="461" t="s">
        <v>471</v>
      </c>
      <c r="E183" s="318"/>
      <c r="F183" s="316"/>
      <c r="G183" s="365" t="s">
        <v>472</v>
      </c>
      <c r="H183" s="316"/>
      <c r="I183" s="383" t="s">
        <v>473</v>
      </c>
      <c r="J183" s="316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 customHeight="1" x14ac:dyDescent="0.2">
      <c r="A184" s="353" t="s">
        <v>688</v>
      </c>
      <c r="B184" s="318"/>
      <c r="C184" s="316"/>
      <c r="D184" s="239">
        <v>0</v>
      </c>
      <c r="E184" s="183">
        <v>30</v>
      </c>
      <c r="F184" s="200">
        <f>E185</f>
        <v>300</v>
      </c>
      <c r="G184" s="432">
        <v>0</v>
      </c>
      <c r="H184" s="316"/>
      <c r="I184" s="425">
        <f>G184/F184/E184</f>
        <v>0</v>
      </c>
      <c r="J184" s="316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 customHeight="1" x14ac:dyDescent="0.2">
      <c r="A185" s="353" t="s">
        <v>689</v>
      </c>
      <c r="B185" s="318"/>
      <c r="C185" s="316"/>
      <c r="D185" s="239">
        <v>0</v>
      </c>
      <c r="E185" s="462">
        <v>300</v>
      </c>
      <c r="F185" s="316"/>
      <c r="G185" s="463">
        <v>0</v>
      </c>
      <c r="H185" s="316"/>
      <c r="I185" s="425">
        <v>0</v>
      </c>
      <c r="J185" s="316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 customHeight="1" x14ac:dyDescent="0.2">
      <c r="A186" s="429" t="s">
        <v>476</v>
      </c>
      <c r="B186" s="318"/>
      <c r="C186" s="318"/>
      <c r="D186" s="318"/>
      <c r="E186" s="318"/>
      <c r="F186" s="318"/>
      <c r="G186" s="318"/>
      <c r="H186" s="316"/>
      <c r="I186" s="425">
        <f>SUM(I184+I185)</f>
        <v>0</v>
      </c>
      <c r="J186" s="316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 x14ac:dyDescent="0.2">
      <c r="A187" s="430"/>
      <c r="B187" s="318"/>
      <c r="C187" s="318"/>
      <c r="D187" s="318"/>
      <c r="E187" s="318"/>
      <c r="F187" s="318"/>
      <c r="G187" s="318"/>
      <c r="H187" s="318"/>
      <c r="I187" s="318"/>
      <c r="J187" s="316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 customHeight="1" x14ac:dyDescent="0.2">
      <c r="A188" s="398"/>
      <c r="B188" s="318"/>
      <c r="C188" s="318"/>
      <c r="D188" s="318"/>
      <c r="E188" s="318"/>
      <c r="F188" s="318"/>
      <c r="G188" s="318"/>
      <c r="H188" s="318"/>
      <c r="I188" s="318"/>
      <c r="J188" s="316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 x14ac:dyDescent="0.2">
      <c r="A189" s="385"/>
      <c r="B189" s="318"/>
      <c r="C189" s="318"/>
      <c r="D189" s="318"/>
      <c r="E189" s="318"/>
      <c r="F189" s="318"/>
      <c r="G189" s="318"/>
      <c r="H189" s="318"/>
      <c r="I189" s="318"/>
      <c r="J189" s="316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 customHeight="1" x14ac:dyDescent="0.2">
      <c r="A190" s="407" t="s">
        <v>690</v>
      </c>
      <c r="B190" s="318"/>
      <c r="C190" s="318"/>
      <c r="D190" s="318"/>
      <c r="E190" s="318"/>
      <c r="F190" s="318"/>
      <c r="G190" s="318"/>
      <c r="H190" s="318"/>
      <c r="I190" s="318"/>
      <c r="J190" s="316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 x14ac:dyDescent="0.2">
      <c r="A191" s="383" t="s">
        <v>21</v>
      </c>
      <c r="B191" s="318"/>
      <c r="C191" s="318"/>
      <c r="D191" s="318"/>
      <c r="E191" s="316"/>
      <c r="F191" s="365" t="s">
        <v>541</v>
      </c>
      <c r="G191" s="316"/>
      <c r="H191" s="197" t="s">
        <v>542</v>
      </c>
      <c r="I191" s="365" t="s">
        <v>543</v>
      </c>
      <c r="J191" s="316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 customHeight="1" x14ac:dyDescent="0.2">
      <c r="A192" s="402" t="s">
        <v>691</v>
      </c>
      <c r="B192" s="318"/>
      <c r="C192" s="318"/>
      <c r="D192" s="318"/>
      <c r="E192" s="316"/>
      <c r="F192" s="400">
        <f>I186</f>
        <v>0</v>
      </c>
      <c r="G192" s="316"/>
      <c r="H192" s="229">
        <f>I14</f>
        <v>0</v>
      </c>
      <c r="I192" s="395">
        <f>ROUND(F192*H192,2)</f>
        <v>0</v>
      </c>
      <c r="J192" s="316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 x14ac:dyDescent="0.2">
      <c r="A193" s="397" t="s">
        <v>692</v>
      </c>
      <c r="B193" s="318"/>
      <c r="C193" s="318"/>
      <c r="D193" s="318"/>
      <c r="E193" s="318"/>
      <c r="F193" s="318"/>
      <c r="G193" s="316"/>
      <c r="H193" s="231">
        <f>H192</f>
        <v>0</v>
      </c>
      <c r="I193" s="367">
        <f>SUM(I192)</f>
        <v>0</v>
      </c>
      <c r="J193" s="316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 x14ac:dyDescent="0.2">
      <c r="A194" s="398"/>
      <c r="B194" s="318"/>
      <c r="C194" s="318"/>
      <c r="D194" s="318"/>
      <c r="E194" s="318"/>
      <c r="F194" s="318"/>
      <c r="G194" s="318"/>
      <c r="H194" s="318"/>
      <c r="I194" s="318"/>
      <c r="J194" s="316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 x14ac:dyDescent="0.2">
      <c r="A195" s="394" t="s">
        <v>314</v>
      </c>
      <c r="B195" s="318"/>
      <c r="C195" s="318"/>
      <c r="D195" s="318"/>
      <c r="E195" s="318"/>
      <c r="F195" s="318"/>
      <c r="G195" s="316"/>
      <c r="H195" s="229">
        <f>J16</f>
        <v>0</v>
      </c>
      <c r="I195" s="395">
        <f>J195</f>
        <v>0</v>
      </c>
      <c r="J195" s="316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 customHeight="1" x14ac:dyDescent="0.2">
      <c r="A196" s="446" t="s">
        <v>315</v>
      </c>
      <c r="B196" s="318"/>
      <c r="C196" s="318"/>
      <c r="D196" s="318"/>
      <c r="E196" s="318"/>
      <c r="F196" s="318"/>
      <c r="G196" s="316"/>
      <c r="H196" s="233">
        <f t="shared" ref="H196:I196" si="4">H195</f>
        <v>0</v>
      </c>
      <c r="I196" s="401">
        <f t="shared" si="4"/>
        <v>0</v>
      </c>
      <c r="J196" s="316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75" customHeight="1" x14ac:dyDescent="0.2">
      <c r="A197" s="398"/>
      <c r="B197" s="318"/>
      <c r="C197" s="318"/>
      <c r="D197" s="318"/>
      <c r="E197" s="318"/>
      <c r="F197" s="318"/>
      <c r="G197" s="318"/>
      <c r="H197" s="318"/>
      <c r="I197" s="318"/>
      <c r="J197" s="316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 customHeight="1" x14ac:dyDescent="0.2">
      <c r="A198" s="403" t="s">
        <v>476</v>
      </c>
      <c r="B198" s="318"/>
      <c r="C198" s="318"/>
      <c r="D198" s="318"/>
      <c r="E198" s="318"/>
      <c r="F198" s="318"/>
      <c r="G198" s="316"/>
      <c r="H198" s="233">
        <f>ROUND(H193+H196,2)</f>
        <v>0</v>
      </c>
      <c r="I198" s="401">
        <f>SUM(I193+I196)</f>
        <v>0</v>
      </c>
      <c r="J198" s="316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75" customHeight="1" x14ac:dyDescent="0.2">
      <c r="A199" s="398"/>
      <c r="B199" s="318"/>
      <c r="C199" s="318"/>
      <c r="D199" s="318"/>
      <c r="E199" s="318"/>
      <c r="F199" s="318"/>
      <c r="G199" s="318"/>
      <c r="H199" s="318"/>
      <c r="I199" s="318"/>
      <c r="J199" s="316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75" customHeight="1" x14ac:dyDescent="0.2">
      <c r="A200" s="404" t="s">
        <v>693</v>
      </c>
      <c r="B200" s="318"/>
      <c r="C200" s="318"/>
      <c r="D200" s="318"/>
      <c r="E200" s="318"/>
      <c r="F200" s="318"/>
      <c r="G200" s="318"/>
      <c r="H200" s="316"/>
      <c r="I200" s="405">
        <f>J180</f>
        <v>15.41</v>
      </c>
      <c r="J200" s="316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8" x14ac:dyDescent="0.2">
      <c r="A201" s="448"/>
      <c r="B201" s="318"/>
      <c r="C201" s="318"/>
      <c r="D201" s="318"/>
      <c r="E201" s="318"/>
      <c r="F201" s="318"/>
      <c r="G201" s="318"/>
      <c r="H201" s="316"/>
      <c r="I201" s="449"/>
      <c r="J201" s="316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4.25" x14ac:dyDescent="0.2">
      <c r="A202" s="404" t="s">
        <v>562</v>
      </c>
      <c r="B202" s="318"/>
      <c r="C202" s="318"/>
      <c r="D202" s="318"/>
      <c r="E202" s="318"/>
      <c r="F202" s="318"/>
      <c r="G202" s="318"/>
      <c r="H202" s="316"/>
      <c r="I202" s="447">
        <f>G212</f>
        <v>2</v>
      </c>
      <c r="J202" s="316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8" x14ac:dyDescent="0.2">
      <c r="A203" s="448"/>
      <c r="B203" s="318"/>
      <c r="C203" s="318"/>
      <c r="D203" s="318"/>
      <c r="E203" s="318"/>
      <c r="F203" s="318"/>
      <c r="G203" s="318"/>
      <c r="H203" s="316"/>
      <c r="I203" s="449"/>
      <c r="J203" s="316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4.25" x14ac:dyDescent="0.2">
      <c r="A204" s="450" t="s">
        <v>694</v>
      </c>
      <c r="B204" s="318"/>
      <c r="C204" s="318"/>
      <c r="D204" s="318"/>
      <c r="E204" s="318"/>
      <c r="F204" s="318"/>
      <c r="G204" s="318"/>
      <c r="H204" s="316"/>
      <c r="I204" s="405">
        <f>I200*I202</f>
        <v>30.82</v>
      </c>
      <c r="J204" s="316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8" x14ac:dyDescent="0.2">
      <c r="A205" s="448"/>
      <c r="B205" s="318"/>
      <c r="C205" s="318"/>
      <c r="D205" s="318"/>
      <c r="E205" s="318"/>
      <c r="F205" s="318"/>
      <c r="G205" s="318"/>
      <c r="H205" s="316"/>
      <c r="I205" s="449"/>
      <c r="J205" s="316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75" customHeight="1" x14ac:dyDescent="0.2">
      <c r="A206" s="404" t="s">
        <v>558</v>
      </c>
      <c r="B206" s="318"/>
      <c r="C206" s="318"/>
      <c r="D206" s="318"/>
      <c r="E206" s="318"/>
      <c r="F206" s="318"/>
      <c r="G206" s="318"/>
      <c r="H206" s="316"/>
      <c r="I206" s="405">
        <f>H11</f>
        <v>20</v>
      </c>
      <c r="J206" s="316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75" customHeight="1" x14ac:dyDescent="0.2">
      <c r="A207" s="398"/>
      <c r="B207" s="318"/>
      <c r="C207" s="318"/>
      <c r="D207" s="318"/>
      <c r="E207" s="318"/>
      <c r="F207" s="318"/>
      <c r="G207" s="318"/>
      <c r="H207" s="318"/>
      <c r="I207" s="318"/>
      <c r="J207" s="316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75" customHeight="1" x14ac:dyDescent="0.2">
      <c r="A208" s="404" t="s">
        <v>695</v>
      </c>
      <c r="B208" s="318"/>
      <c r="C208" s="318"/>
      <c r="D208" s="318"/>
      <c r="E208" s="318"/>
      <c r="F208" s="318"/>
      <c r="G208" s="318"/>
      <c r="H208" s="316"/>
      <c r="I208" s="405">
        <f>ROUND(I204*I206,2)</f>
        <v>616.4</v>
      </c>
      <c r="J208" s="316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75" customHeight="1" x14ac:dyDescent="0.2">
      <c r="A209" s="398"/>
      <c r="B209" s="318"/>
      <c r="C209" s="318"/>
      <c r="D209" s="318"/>
      <c r="E209" s="318"/>
      <c r="F209" s="318"/>
      <c r="G209" s="318"/>
      <c r="H209" s="318"/>
      <c r="I209" s="318"/>
      <c r="J209" s="316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2.75" customHeight="1" x14ac:dyDescent="0.2">
      <c r="A210" s="358" t="s">
        <v>560</v>
      </c>
      <c r="B210" s="318"/>
      <c r="C210" s="318"/>
      <c r="D210" s="318"/>
      <c r="E210" s="318"/>
      <c r="F210" s="318"/>
      <c r="G210" s="318"/>
      <c r="H210" s="318"/>
      <c r="I210" s="318"/>
      <c r="J210" s="316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75" customHeight="1" x14ac:dyDescent="0.2">
      <c r="A211" s="383" t="s">
        <v>561</v>
      </c>
      <c r="B211" s="318"/>
      <c r="C211" s="318"/>
      <c r="D211" s="318"/>
      <c r="E211" s="318"/>
      <c r="F211" s="316"/>
      <c r="G211" s="383" t="s">
        <v>562</v>
      </c>
      <c r="H211" s="318"/>
      <c r="I211" s="318"/>
      <c r="J211" s="316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75" customHeight="1" x14ac:dyDescent="0.2">
      <c r="A212" s="382" t="s">
        <v>646</v>
      </c>
      <c r="B212" s="318"/>
      <c r="C212" s="318"/>
      <c r="D212" s="318"/>
      <c r="E212" s="318"/>
      <c r="F212" s="316"/>
      <c r="G212" s="369">
        <v>2</v>
      </c>
      <c r="H212" s="318"/>
      <c r="I212" s="318"/>
      <c r="J212" s="316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75" customHeight="1" x14ac:dyDescent="0.2">
      <c r="A213" s="398"/>
      <c r="B213" s="318"/>
      <c r="C213" s="318"/>
      <c r="D213" s="318"/>
      <c r="E213" s="318"/>
      <c r="F213" s="318"/>
      <c r="G213" s="318"/>
      <c r="H213" s="318"/>
      <c r="I213" s="318"/>
      <c r="J213" s="316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32.25" customHeight="1" x14ac:dyDescent="0.2">
      <c r="A214" s="358" t="s">
        <v>696</v>
      </c>
      <c r="B214" s="318"/>
      <c r="C214" s="318"/>
      <c r="D214" s="318"/>
      <c r="E214" s="318"/>
      <c r="F214" s="318"/>
      <c r="G214" s="318"/>
      <c r="H214" s="318"/>
      <c r="I214" s="318"/>
      <c r="J214" s="316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75" customHeight="1" x14ac:dyDescent="0.2">
      <c r="A215" s="365" t="s">
        <v>566</v>
      </c>
      <c r="B215" s="318"/>
      <c r="C215" s="318"/>
      <c r="D215" s="318"/>
      <c r="E215" s="318"/>
      <c r="F215" s="318"/>
      <c r="G215" s="318"/>
      <c r="H215" s="318"/>
      <c r="I215" s="316"/>
      <c r="J215" s="197" t="s">
        <v>567</v>
      </c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75" customHeight="1" x14ac:dyDescent="0.2">
      <c r="A216" s="406" t="s">
        <v>568</v>
      </c>
      <c r="B216" s="318"/>
      <c r="C216" s="318"/>
      <c r="D216" s="318"/>
      <c r="E216" s="318"/>
      <c r="F216" s="318"/>
      <c r="G216" s="318"/>
      <c r="H216" s="318"/>
      <c r="I216" s="316"/>
      <c r="J216" s="138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75" customHeight="1" x14ac:dyDescent="0.2">
      <c r="A217" s="402"/>
      <c r="B217" s="318"/>
      <c r="C217" s="318"/>
      <c r="D217" s="318"/>
      <c r="E217" s="318"/>
      <c r="F217" s="318"/>
      <c r="G217" s="318"/>
      <c r="H217" s="318"/>
      <c r="I217" s="316"/>
      <c r="J217" s="138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75" customHeight="1" x14ac:dyDescent="0.2">
      <c r="A218" s="394"/>
      <c r="B218" s="318"/>
      <c r="C218" s="318"/>
      <c r="D218" s="318"/>
      <c r="E218" s="318"/>
      <c r="F218" s="318"/>
      <c r="G218" s="318"/>
      <c r="H218" s="318"/>
      <c r="I218" s="316"/>
      <c r="J218" s="138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7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75" customHeight="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75" customHeight="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75" customHeight="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75" customHeight="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75" customHeight="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75" customHeight="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75" customHeight="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75" customHeight="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75" customHeight="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75" customHeight="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75" customHeight="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75" customHeight="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75" customHeight="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75" customHeight="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75" customHeight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75" customHeight="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75" customHeight="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75" customHeight="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75" customHeight="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75" customHeight="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7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75" customHeight="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75" customHeight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75" customHeight="1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75" customHeight="1" x14ac:dyDescent="0.2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7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75" customHeight="1" x14ac:dyDescent="0.2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7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75" customHeight="1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75" customHeight="1" x14ac:dyDescent="0.2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75" customHeight="1" x14ac:dyDescent="0.2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75" customHeight="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2.7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2.75" customHeight="1" x14ac:dyDescent="0.2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2.75" customHeight="1" x14ac:dyDescent="0.2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2.75" customHeight="1" x14ac:dyDescent="0.2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2.75" customHeight="1" x14ac:dyDescent="0.2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2.7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2.75" customHeight="1" x14ac:dyDescent="0.2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2.7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2.75" customHeight="1" x14ac:dyDescent="0.2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2.75" customHeight="1" x14ac:dyDescent="0.2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2.7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2.75" customHeight="1" x14ac:dyDescent="0.2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2.75" customHeight="1" x14ac:dyDescent="0.2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2.75" customHeight="1" x14ac:dyDescent="0.2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2.75" customHeight="1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2.75" customHeight="1" x14ac:dyDescent="0.2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2.75" customHeight="1" x14ac:dyDescent="0.2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2.75" customHeight="1" x14ac:dyDescent="0.2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2.75" customHeight="1" x14ac:dyDescent="0.2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2.75" customHeight="1" x14ac:dyDescent="0.2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2.75" customHeight="1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75" customHeight="1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75" customHeight="1" x14ac:dyDescent="0.2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2.75" customHeight="1" x14ac:dyDescent="0.2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2.75" customHeight="1" x14ac:dyDescent="0.2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75" customHeight="1" x14ac:dyDescent="0.2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2.75" customHeight="1" x14ac:dyDescent="0.2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2.75" customHeight="1" x14ac:dyDescent="0.2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75" customHeight="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75" customHeight="1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2.75" customHeight="1" x14ac:dyDescent="0.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2.75" customHeight="1" x14ac:dyDescent="0.2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75" customHeight="1" x14ac:dyDescent="0.2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2.75" customHeight="1" x14ac:dyDescent="0.2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2.75" customHeight="1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2.75" customHeight="1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2.75" customHeight="1" x14ac:dyDescent="0.2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75" customHeight="1" x14ac:dyDescent="0.2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75" customHeight="1" x14ac:dyDescent="0.2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2.75" customHeight="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75" customHeight="1" x14ac:dyDescent="0.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2.75" customHeight="1" x14ac:dyDescent="0.2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75" customHeight="1" x14ac:dyDescent="0.2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75" customHeight="1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7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2.75" customHeight="1" x14ac:dyDescent="0.2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2.75" customHeight="1" x14ac:dyDescent="0.2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2.75" customHeight="1" x14ac:dyDescent="0.2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2.75" customHeight="1" x14ac:dyDescent="0.2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2.7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2.75" customHeight="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2.75" customHeight="1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2.75" customHeight="1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2.75" customHeight="1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2.75" customHeight="1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2.75" customHeight="1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2.75" customHeight="1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2.75" customHeight="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2.75" customHeight="1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2.75" customHeight="1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2.75" customHeight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2.75" customHeight="1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2.75" customHeight="1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2.75" customHeight="1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2.75" customHeight="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2.75" customHeight="1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2.75" customHeight="1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2.75" customHeight="1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2.75" customHeight="1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2.75" customHeight="1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2.75" customHeight="1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2.75" customHeight="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2.75" customHeight="1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2.75" customHeight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2.75" customHeight="1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2.75" customHeight="1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2.75" customHeight="1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2.75" customHeight="1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2.75" customHeight="1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2.75" customHeight="1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75" customHeight="1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2.75" customHeight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75" customHeight="1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2.75" customHeight="1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2.75" customHeight="1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2.75" customHeight="1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2.75" customHeight="1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75" customHeight="1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2.75" customHeight="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75" customHeight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2.75" customHeight="1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75" customHeight="1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2.75" customHeight="1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75" customHeight="1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2.75" customHeight="1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75" customHeight="1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75" customHeight="1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75" customHeight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75" customHeight="1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2.75" customHeight="1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2.75" customHeight="1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75" customHeight="1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75" customHeight="1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75" customHeight="1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2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2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2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2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2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2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2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2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2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2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2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2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2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2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2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2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2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2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2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2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2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2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2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2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2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2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2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2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2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2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2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2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2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2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2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2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2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2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2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2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2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2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2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2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2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2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2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2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2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2.75" customHeight="1" x14ac:dyDescent="0.2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  <row r="1002" spans="1:26" ht="12.75" customHeight="1" x14ac:dyDescent="0.2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</row>
    <row r="1003" spans="1:26" ht="12.75" customHeight="1" x14ac:dyDescent="0.2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</row>
    <row r="1004" spans="1:26" ht="12.75" customHeight="1" x14ac:dyDescent="0.2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</row>
    <row r="1005" spans="1:26" ht="12.75" customHeight="1" x14ac:dyDescent="0.2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</row>
  </sheetData>
  <mergeCells count="265">
    <mergeCell ref="A118:I118"/>
    <mergeCell ref="A119:J119"/>
    <mergeCell ref="A120:J120"/>
    <mergeCell ref="A121:J121"/>
    <mergeCell ref="D183:F183"/>
    <mergeCell ref="G183:H183"/>
    <mergeCell ref="B177:I177"/>
    <mergeCell ref="A178:I178"/>
    <mergeCell ref="B179:I179"/>
    <mergeCell ref="A180:I180"/>
    <mergeCell ref="A181:J181"/>
    <mergeCell ref="A182:J182"/>
    <mergeCell ref="I183:J183"/>
    <mergeCell ref="A183:C183"/>
    <mergeCell ref="B81:I81"/>
    <mergeCell ref="B82:I82"/>
    <mergeCell ref="B83:I83"/>
    <mergeCell ref="A84:I84"/>
    <mergeCell ref="A85:J85"/>
    <mergeCell ref="A86:J86"/>
    <mergeCell ref="B115:I115"/>
    <mergeCell ref="A116:I116"/>
    <mergeCell ref="B117:I117"/>
    <mergeCell ref="B112:I112"/>
    <mergeCell ref="B113:I113"/>
    <mergeCell ref="B114:I114"/>
    <mergeCell ref="A45:J45"/>
    <mergeCell ref="A46:J46"/>
    <mergeCell ref="B47:I47"/>
    <mergeCell ref="B48:I48"/>
    <mergeCell ref="B49:I49"/>
    <mergeCell ref="A50:I50"/>
    <mergeCell ref="B51:I51"/>
    <mergeCell ref="A52:I52"/>
    <mergeCell ref="A53:J53"/>
    <mergeCell ref="A54:J54"/>
    <mergeCell ref="A55:J55"/>
    <mergeCell ref="A56:J56"/>
    <mergeCell ref="B57:H57"/>
    <mergeCell ref="B58:H58"/>
    <mergeCell ref="B59:H59"/>
    <mergeCell ref="B60:D60"/>
    <mergeCell ref="B61:H61"/>
    <mergeCell ref="B62:H62"/>
    <mergeCell ref="B63:H63"/>
    <mergeCell ref="B64:H64"/>
    <mergeCell ref="B65:H65"/>
    <mergeCell ref="A103:I103"/>
    <mergeCell ref="A104:J104"/>
    <mergeCell ref="A105:J105"/>
    <mergeCell ref="A106:J106"/>
    <mergeCell ref="A107:I107"/>
    <mergeCell ref="A108:J108"/>
    <mergeCell ref="B109:I109"/>
    <mergeCell ref="B110:I110"/>
    <mergeCell ref="B111:I111"/>
    <mergeCell ref="A94:J94"/>
    <mergeCell ref="A95:J95"/>
    <mergeCell ref="B96:I96"/>
    <mergeCell ref="B97:I97"/>
    <mergeCell ref="B98:I98"/>
    <mergeCell ref="B99:I99"/>
    <mergeCell ref="B100:I100"/>
    <mergeCell ref="B101:I101"/>
    <mergeCell ref="B102:I102"/>
    <mergeCell ref="A43:J43"/>
    <mergeCell ref="A44:J44"/>
    <mergeCell ref="A87:J87"/>
    <mergeCell ref="A88:J88"/>
    <mergeCell ref="B89:I89"/>
    <mergeCell ref="B90:I90"/>
    <mergeCell ref="B91:I91"/>
    <mergeCell ref="B92:I92"/>
    <mergeCell ref="A93:I93"/>
    <mergeCell ref="A66:H66"/>
    <mergeCell ref="A67:J67"/>
    <mergeCell ref="A68:J68"/>
    <mergeCell ref="A69:J69"/>
    <mergeCell ref="A70:J70"/>
    <mergeCell ref="B71:I71"/>
    <mergeCell ref="B72:I72"/>
    <mergeCell ref="B73:H73"/>
    <mergeCell ref="B74:H74"/>
    <mergeCell ref="B75:H75"/>
    <mergeCell ref="B76:I76"/>
    <mergeCell ref="B77:H77"/>
    <mergeCell ref="B78:H78"/>
    <mergeCell ref="B79:H79"/>
    <mergeCell ref="B80:I80"/>
    <mergeCell ref="B26:G26"/>
    <mergeCell ref="H26:J26"/>
    <mergeCell ref="B27:G27"/>
    <mergeCell ref="H27:J27"/>
    <mergeCell ref="B38:H38"/>
    <mergeCell ref="B39:I39"/>
    <mergeCell ref="B40:I40"/>
    <mergeCell ref="A41:I41"/>
    <mergeCell ref="A42:J42"/>
    <mergeCell ref="A17:I17"/>
    <mergeCell ref="A18:J18"/>
    <mergeCell ref="A19:I19"/>
    <mergeCell ref="A20:J20"/>
    <mergeCell ref="A21:J21"/>
    <mergeCell ref="A22:J22"/>
    <mergeCell ref="A23:J23"/>
    <mergeCell ref="A24:J24"/>
    <mergeCell ref="A25:J25"/>
    <mergeCell ref="G13:H13"/>
    <mergeCell ref="I13:J13"/>
    <mergeCell ref="A13:F13"/>
    <mergeCell ref="A14:F14"/>
    <mergeCell ref="G14:H14"/>
    <mergeCell ref="I14:J14"/>
    <mergeCell ref="A15:H15"/>
    <mergeCell ref="I15:J15"/>
    <mergeCell ref="H16:I16"/>
    <mergeCell ref="A16:G16"/>
    <mergeCell ref="A34:J34"/>
    <mergeCell ref="B35:G35"/>
    <mergeCell ref="H35:I35"/>
    <mergeCell ref="B36:I36"/>
    <mergeCell ref="B37:I37"/>
    <mergeCell ref="A1:J1"/>
    <mergeCell ref="A2:J2"/>
    <mergeCell ref="A3:D3"/>
    <mergeCell ref="E3:J3"/>
    <mergeCell ref="A4:G4"/>
    <mergeCell ref="H4:J4"/>
    <mergeCell ref="H5:J5"/>
    <mergeCell ref="A5:G5"/>
    <mergeCell ref="A6:J6"/>
    <mergeCell ref="A7:J7"/>
    <mergeCell ref="B8:G8"/>
    <mergeCell ref="H8:J8"/>
    <mergeCell ref="B9:G9"/>
    <mergeCell ref="H9:J9"/>
    <mergeCell ref="B10:G10"/>
    <mergeCell ref="H10:J10"/>
    <mergeCell ref="B11:G11"/>
    <mergeCell ref="H11:J11"/>
    <mergeCell ref="A12:J12"/>
    <mergeCell ref="B28:G28"/>
    <mergeCell ref="H28:J28"/>
    <mergeCell ref="B29:G29"/>
    <mergeCell ref="H29:J29"/>
    <mergeCell ref="B30:G30"/>
    <mergeCell ref="H30:J30"/>
    <mergeCell ref="A31:J31"/>
    <mergeCell ref="A32:J32"/>
    <mergeCell ref="A33:J33"/>
    <mergeCell ref="B158:H158"/>
    <mergeCell ref="B159:H159"/>
    <mergeCell ref="B160:H160"/>
    <mergeCell ref="B161:H161"/>
    <mergeCell ref="A162:I162"/>
    <mergeCell ref="A163:J163"/>
    <mergeCell ref="A198:G198"/>
    <mergeCell ref="I198:J198"/>
    <mergeCell ref="A199:J199"/>
    <mergeCell ref="A184:C184"/>
    <mergeCell ref="G184:H184"/>
    <mergeCell ref="I184:J184"/>
    <mergeCell ref="E185:F185"/>
    <mergeCell ref="G185:H185"/>
    <mergeCell ref="I185:J185"/>
    <mergeCell ref="A185:C185"/>
    <mergeCell ref="A186:H186"/>
    <mergeCell ref="I186:J186"/>
    <mergeCell ref="A187:J187"/>
    <mergeCell ref="A188:J188"/>
    <mergeCell ref="A189:J189"/>
    <mergeCell ref="A190:J190"/>
    <mergeCell ref="B149:H149"/>
    <mergeCell ref="A150:H150"/>
    <mergeCell ref="B151:H151"/>
    <mergeCell ref="A152:H152"/>
    <mergeCell ref="B153:H153"/>
    <mergeCell ref="B154:H154"/>
    <mergeCell ref="B155:H155"/>
    <mergeCell ref="B156:H156"/>
    <mergeCell ref="B157:H157"/>
    <mergeCell ref="B140:I140"/>
    <mergeCell ref="B141:I141"/>
    <mergeCell ref="A142:I142"/>
    <mergeCell ref="A143:J143"/>
    <mergeCell ref="A144:J144"/>
    <mergeCell ref="A145:J145"/>
    <mergeCell ref="A146:J146"/>
    <mergeCell ref="B147:H147"/>
    <mergeCell ref="A148:H148"/>
    <mergeCell ref="B131:I131"/>
    <mergeCell ref="B132:I132"/>
    <mergeCell ref="B133:I133"/>
    <mergeCell ref="A134:I134"/>
    <mergeCell ref="A135:J135"/>
    <mergeCell ref="A136:J136"/>
    <mergeCell ref="B137:I137"/>
    <mergeCell ref="B138:I138"/>
    <mergeCell ref="B139:I139"/>
    <mergeCell ref="B122:I122"/>
    <mergeCell ref="B123:I123"/>
    <mergeCell ref="A124:I124"/>
    <mergeCell ref="B125:I125"/>
    <mergeCell ref="A126:I126"/>
    <mergeCell ref="A127:J127"/>
    <mergeCell ref="A128:J128"/>
    <mergeCell ref="A129:J129"/>
    <mergeCell ref="A130:J130"/>
    <mergeCell ref="A208:H208"/>
    <mergeCell ref="I208:J208"/>
    <mergeCell ref="A209:J209"/>
    <mergeCell ref="A215:I215"/>
    <mergeCell ref="A216:I216"/>
    <mergeCell ref="A217:I217"/>
    <mergeCell ref="A218:I218"/>
    <mergeCell ref="A210:J210"/>
    <mergeCell ref="A211:F211"/>
    <mergeCell ref="G211:J211"/>
    <mergeCell ref="A212:F212"/>
    <mergeCell ref="G212:J212"/>
    <mergeCell ref="A213:J213"/>
    <mergeCell ref="A214:J214"/>
    <mergeCell ref="A203:H203"/>
    <mergeCell ref="I203:J203"/>
    <mergeCell ref="A204:H204"/>
    <mergeCell ref="I204:J204"/>
    <mergeCell ref="I205:J205"/>
    <mergeCell ref="A205:H205"/>
    <mergeCell ref="A206:H206"/>
    <mergeCell ref="I206:J206"/>
    <mergeCell ref="A207:J207"/>
    <mergeCell ref="I193:J193"/>
    <mergeCell ref="A193:G193"/>
    <mergeCell ref="A194:J194"/>
    <mergeCell ref="A195:G195"/>
    <mergeCell ref="I195:J195"/>
    <mergeCell ref="A196:G196"/>
    <mergeCell ref="I196:J196"/>
    <mergeCell ref="A197:J197"/>
    <mergeCell ref="A202:H202"/>
    <mergeCell ref="I202:J202"/>
    <mergeCell ref="A200:H200"/>
    <mergeCell ref="I200:J200"/>
    <mergeCell ref="A201:H201"/>
    <mergeCell ref="I201:J201"/>
    <mergeCell ref="A172:I172"/>
    <mergeCell ref="B173:I173"/>
    <mergeCell ref="B174:I174"/>
    <mergeCell ref="B175:I175"/>
    <mergeCell ref="B176:I176"/>
    <mergeCell ref="A191:E191"/>
    <mergeCell ref="F191:G191"/>
    <mergeCell ref="I191:J191"/>
    <mergeCell ref="A192:E192"/>
    <mergeCell ref="F192:G192"/>
    <mergeCell ref="I192:J192"/>
    <mergeCell ref="A164:H164"/>
    <mergeCell ref="A165:C167"/>
    <mergeCell ref="D165:J165"/>
    <mergeCell ref="D166:J166"/>
    <mergeCell ref="D167:J167"/>
    <mergeCell ref="A168:J168"/>
    <mergeCell ref="A169:J169"/>
    <mergeCell ref="A170:J170"/>
    <mergeCell ref="A171:J171"/>
  </mergeCells>
  <pageMargins left="0.75" right="0.75" top="1" bottom="1" header="0" footer="0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9000"/>
    <pageSetUpPr fitToPage="1"/>
  </sheetPr>
  <dimension ref="A1:Z1001"/>
  <sheetViews>
    <sheetView topLeftCell="A187" workbookViewId="0">
      <selection activeCell="Q169" sqref="Q169"/>
    </sheetView>
  </sheetViews>
  <sheetFormatPr defaultColWidth="12.625" defaultRowHeight="15" customHeight="1" x14ac:dyDescent="0.2"/>
  <cols>
    <col min="1" max="2" width="8" customWidth="1"/>
    <col min="3" max="3" width="15.125" customWidth="1"/>
    <col min="4" max="7" width="8" customWidth="1"/>
    <col min="8" max="8" width="21.5" customWidth="1"/>
    <col min="9" max="9" width="13.875" customWidth="1"/>
    <col min="10" max="10" width="19.125" customWidth="1"/>
    <col min="11" max="26" width="8" customWidth="1"/>
  </cols>
  <sheetData>
    <row r="1" spans="1:26" ht="12.75" customHeight="1" x14ac:dyDescent="0.2">
      <c r="A1" s="452" t="s">
        <v>644</v>
      </c>
      <c r="B1" s="318"/>
      <c r="C1" s="318"/>
      <c r="D1" s="318"/>
      <c r="E1" s="318"/>
      <c r="F1" s="318"/>
      <c r="G1" s="318"/>
      <c r="H1" s="318"/>
      <c r="I1" s="318"/>
      <c r="J1" s="31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81.75" customHeight="1" x14ac:dyDescent="0.2">
      <c r="A2" s="453" t="s">
        <v>697</v>
      </c>
      <c r="B2" s="318"/>
      <c r="C2" s="318"/>
      <c r="D2" s="318"/>
      <c r="E2" s="318"/>
      <c r="F2" s="318"/>
      <c r="G2" s="318"/>
      <c r="H2" s="318"/>
      <c r="I2" s="318"/>
      <c r="J2" s="316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54.75" customHeight="1" x14ac:dyDescent="0.2">
      <c r="A3" s="454" t="s">
        <v>564</v>
      </c>
      <c r="B3" s="318"/>
      <c r="C3" s="318"/>
      <c r="D3" s="316"/>
      <c r="E3" s="455" t="s">
        <v>647</v>
      </c>
      <c r="F3" s="318"/>
      <c r="G3" s="318"/>
      <c r="H3" s="318"/>
      <c r="I3" s="318"/>
      <c r="J3" s="316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2.75" customHeight="1" x14ac:dyDescent="0.2">
      <c r="A4" s="358" t="s">
        <v>648</v>
      </c>
      <c r="B4" s="318"/>
      <c r="C4" s="318"/>
      <c r="D4" s="318"/>
      <c r="E4" s="318"/>
      <c r="F4" s="318"/>
      <c r="G4" s="316"/>
      <c r="H4" s="456" t="s">
        <v>8</v>
      </c>
      <c r="I4" s="318"/>
      <c r="J4" s="31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75" customHeight="1" x14ac:dyDescent="0.2">
      <c r="A5" s="358" t="s">
        <v>649</v>
      </c>
      <c r="B5" s="318"/>
      <c r="C5" s="318"/>
      <c r="D5" s="318"/>
      <c r="E5" s="318"/>
      <c r="F5" s="318"/>
      <c r="G5" s="316"/>
      <c r="H5" s="456" t="s">
        <v>650</v>
      </c>
      <c r="I5" s="318"/>
      <c r="J5" s="316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2.75" customHeight="1" x14ac:dyDescent="0.2">
      <c r="A6" s="358" t="s">
        <v>276</v>
      </c>
      <c r="B6" s="318"/>
      <c r="C6" s="318"/>
      <c r="D6" s="318"/>
      <c r="E6" s="318"/>
      <c r="F6" s="318"/>
      <c r="G6" s="318"/>
      <c r="H6" s="318"/>
      <c r="I6" s="318"/>
      <c r="J6" s="316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2.75" customHeight="1" x14ac:dyDescent="0.2">
      <c r="A7" s="362" t="s">
        <v>277</v>
      </c>
      <c r="B7" s="318"/>
      <c r="C7" s="318"/>
      <c r="D7" s="318"/>
      <c r="E7" s="318"/>
      <c r="F7" s="318"/>
      <c r="G7" s="318"/>
      <c r="H7" s="318"/>
      <c r="I7" s="318"/>
      <c r="J7" s="316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2.75" customHeight="1" x14ac:dyDescent="0.2">
      <c r="A8" s="138" t="s">
        <v>278</v>
      </c>
      <c r="B8" s="358" t="s">
        <v>279</v>
      </c>
      <c r="C8" s="318"/>
      <c r="D8" s="318"/>
      <c r="E8" s="318"/>
      <c r="F8" s="318"/>
      <c r="G8" s="316"/>
      <c r="H8" s="457">
        <f ca="1">NOW()</f>
        <v>44489.18239652778</v>
      </c>
      <c r="I8" s="318"/>
      <c r="J8" s="316"/>
      <c r="K8" s="61"/>
      <c r="L8" s="61"/>
      <c r="M8" s="61"/>
      <c r="N8" s="235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2.75" customHeight="1" x14ac:dyDescent="0.2">
      <c r="A9" s="138" t="s">
        <v>280</v>
      </c>
      <c r="B9" s="358" t="s">
        <v>281</v>
      </c>
      <c r="C9" s="318"/>
      <c r="D9" s="318"/>
      <c r="E9" s="318"/>
      <c r="F9" s="318"/>
      <c r="G9" s="316"/>
      <c r="H9" s="457" t="s">
        <v>651</v>
      </c>
      <c r="I9" s="318"/>
      <c r="J9" s="316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2.75" customHeight="1" x14ac:dyDescent="0.2">
      <c r="A10" s="138" t="s">
        <v>282</v>
      </c>
      <c r="B10" s="358" t="s">
        <v>283</v>
      </c>
      <c r="C10" s="318"/>
      <c r="D10" s="318"/>
      <c r="E10" s="318"/>
      <c r="F10" s="318"/>
      <c r="G10" s="316"/>
      <c r="H10" s="458" t="str">
        <f>'Aba Carregamento'!B71</f>
        <v>RS 000051/2021</v>
      </c>
      <c r="I10" s="318"/>
      <c r="J10" s="316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2.75" customHeight="1" x14ac:dyDescent="0.2">
      <c r="A11" s="138" t="s">
        <v>284</v>
      </c>
      <c r="B11" s="358" t="s">
        <v>285</v>
      </c>
      <c r="C11" s="318"/>
      <c r="D11" s="318"/>
      <c r="E11" s="318"/>
      <c r="F11" s="318"/>
      <c r="G11" s="316"/>
      <c r="H11" s="456">
        <v>20</v>
      </c>
      <c r="I11" s="318"/>
      <c r="J11" s="31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2.75" customHeight="1" x14ac:dyDescent="0.2">
      <c r="A12" s="364" t="s">
        <v>286</v>
      </c>
      <c r="B12" s="318"/>
      <c r="C12" s="318"/>
      <c r="D12" s="318"/>
      <c r="E12" s="318"/>
      <c r="F12" s="318"/>
      <c r="G12" s="318"/>
      <c r="H12" s="318"/>
      <c r="I12" s="318"/>
      <c r="J12" s="31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2.75" customHeight="1" x14ac:dyDescent="0.2">
      <c r="A13" s="365" t="s">
        <v>287</v>
      </c>
      <c r="B13" s="318"/>
      <c r="C13" s="318"/>
      <c r="D13" s="318"/>
      <c r="E13" s="318"/>
      <c r="F13" s="316"/>
      <c r="G13" s="365" t="s">
        <v>288</v>
      </c>
      <c r="H13" s="316"/>
      <c r="I13" s="365" t="s">
        <v>652</v>
      </c>
      <c r="J13" s="31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2.75" customHeight="1" x14ac:dyDescent="0.2">
      <c r="A14" s="353" t="s">
        <v>653</v>
      </c>
      <c r="B14" s="318"/>
      <c r="C14" s="318"/>
      <c r="D14" s="318"/>
      <c r="E14" s="318"/>
      <c r="F14" s="316"/>
      <c r="G14" s="354" t="s">
        <v>291</v>
      </c>
      <c r="H14" s="316"/>
      <c r="I14" s="459">
        <v>0</v>
      </c>
      <c r="J14" s="316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2.75" customHeight="1" x14ac:dyDescent="0.2">
      <c r="A15" s="366" t="s">
        <v>298</v>
      </c>
      <c r="B15" s="318"/>
      <c r="C15" s="318"/>
      <c r="D15" s="318"/>
      <c r="E15" s="318"/>
      <c r="F15" s="318"/>
      <c r="G15" s="318"/>
      <c r="H15" s="316"/>
      <c r="I15" s="367">
        <v>0</v>
      </c>
      <c r="J15" s="31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2.75" customHeight="1" x14ac:dyDescent="0.2">
      <c r="A16" s="382" t="s">
        <v>314</v>
      </c>
      <c r="B16" s="318"/>
      <c r="C16" s="318"/>
      <c r="D16" s="318"/>
      <c r="E16" s="318"/>
      <c r="F16" s="318"/>
      <c r="G16" s="316"/>
      <c r="H16" s="369" t="s">
        <v>291</v>
      </c>
      <c r="I16" s="316"/>
      <c r="J16" s="236">
        <v>0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2.75" customHeight="1" x14ac:dyDescent="0.2">
      <c r="A17" s="381" t="s">
        <v>315</v>
      </c>
      <c r="B17" s="318"/>
      <c r="C17" s="318"/>
      <c r="D17" s="318"/>
      <c r="E17" s="318"/>
      <c r="F17" s="318"/>
      <c r="G17" s="318"/>
      <c r="H17" s="318"/>
      <c r="I17" s="316"/>
      <c r="J17" s="140">
        <v>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2.75" customHeight="1" x14ac:dyDescent="0.2">
      <c r="A18" s="368"/>
      <c r="B18" s="318"/>
      <c r="C18" s="318"/>
      <c r="D18" s="318"/>
      <c r="E18" s="318"/>
      <c r="F18" s="318"/>
      <c r="G18" s="318"/>
      <c r="H18" s="318"/>
      <c r="I18" s="318"/>
      <c r="J18" s="316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2.75" customHeight="1" x14ac:dyDescent="0.2">
      <c r="A19" s="384" t="s">
        <v>316</v>
      </c>
      <c r="B19" s="318"/>
      <c r="C19" s="318"/>
      <c r="D19" s="318"/>
      <c r="E19" s="318"/>
      <c r="F19" s="318"/>
      <c r="G19" s="318"/>
      <c r="H19" s="318"/>
      <c r="I19" s="316"/>
      <c r="J19" s="141">
        <f>I15+J17</f>
        <v>0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2.75" customHeight="1" x14ac:dyDescent="0.2">
      <c r="A20" s="368"/>
      <c r="B20" s="318"/>
      <c r="C20" s="318"/>
      <c r="D20" s="318"/>
      <c r="E20" s="318"/>
      <c r="F20" s="318"/>
      <c r="G20" s="318"/>
      <c r="H20" s="318"/>
      <c r="I20" s="318"/>
      <c r="J20" s="316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2.75" customHeight="1" x14ac:dyDescent="0.2">
      <c r="A21" s="385" t="s">
        <v>317</v>
      </c>
      <c r="B21" s="318"/>
      <c r="C21" s="318"/>
      <c r="D21" s="318"/>
      <c r="E21" s="318"/>
      <c r="F21" s="318"/>
      <c r="G21" s="318"/>
      <c r="H21" s="318"/>
      <c r="I21" s="318"/>
      <c r="J21" s="316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2.75" customHeight="1" x14ac:dyDescent="0.2">
      <c r="A22" s="368"/>
      <c r="B22" s="318"/>
      <c r="C22" s="318"/>
      <c r="D22" s="318"/>
      <c r="E22" s="318"/>
      <c r="F22" s="318"/>
      <c r="G22" s="318"/>
      <c r="H22" s="318"/>
      <c r="I22" s="318"/>
      <c r="J22" s="316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2.75" customHeight="1" x14ac:dyDescent="0.2">
      <c r="A23" s="372" t="s">
        <v>698</v>
      </c>
      <c r="B23" s="318"/>
      <c r="C23" s="318"/>
      <c r="D23" s="318"/>
      <c r="E23" s="318"/>
      <c r="F23" s="318"/>
      <c r="G23" s="318"/>
      <c r="H23" s="318"/>
      <c r="I23" s="318"/>
      <c r="J23" s="316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2.75" customHeight="1" x14ac:dyDescent="0.2">
      <c r="A24" s="368"/>
      <c r="B24" s="318"/>
      <c r="C24" s="318"/>
      <c r="D24" s="318"/>
      <c r="E24" s="318"/>
      <c r="F24" s="318"/>
      <c r="G24" s="318"/>
      <c r="H24" s="318"/>
      <c r="I24" s="318"/>
      <c r="J24" s="316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2.75" customHeight="1" x14ac:dyDescent="0.2">
      <c r="A25" s="373" t="s">
        <v>319</v>
      </c>
      <c r="B25" s="318"/>
      <c r="C25" s="318"/>
      <c r="D25" s="318"/>
      <c r="E25" s="318"/>
      <c r="F25" s="318"/>
      <c r="G25" s="318"/>
      <c r="H25" s="318"/>
      <c r="I25" s="318"/>
      <c r="J25" s="316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2.75" customHeight="1" x14ac:dyDescent="0.2">
      <c r="A26" s="138">
        <v>1</v>
      </c>
      <c r="B26" s="358" t="s">
        <v>320</v>
      </c>
      <c r="C26" s="318"/>
      <c r="D26" s="318"/>
      <c r="E26" s="318"/>
      <c r="F26" s="318"/>
      <c r="G26" s="316"/>
      <c r="H26" s="370" t="s">
        <v>321</v>
      </c>
      <c r="I26" s="318"/>
      <c r="J26" s="316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2.75" customHeight="1" x14ac:dyDescent="0.2">
      <c r="A27" s="138">
        <v>2</v>
      </c>
      <c r="B27" s="358" t="s">
        <v>322</v>
      </c>
      <c r="C27" s="318"/>
      <c r="D27" s="318"/>
      <c r="E27" s="318"/>
      <c r="F27" s="318"/>
      <c r="G27" s="316"/>
      <c r="H27" s="370">
        <v>5143</v>
      </c>
      <c r="I27" s="318"/>
      <c r="J27" s="316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2.75" customHeight="1" x14ac:dyDescent="0.2">
      <c r="A28" s="138">
        <v>3</v>
      </c>
      <c r="B28" s="358" t="s">
        <v>323</v>
      </c>
      <c r="C28" s="318"/>
      <c r="D28" s="318"/>
      <c r="E28" s="318"/>
      <c r="F28" s="318"/>
      <c r="G28" s="316"/>
      <c r="H28" s="386">
        <f>'Aba Carregamento'!B73</f>
        <v>0</v>
      </c>
      <c r="I28" s="318"/>
      <c r="J28" s="316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2.75" customHeight="1" x14ac:dyDescent="0.2">
      <c r="A29" s="138">
        <v>4</v>
      </c>
      <c r="B29" s="358" t="s">
        <v>324</v>
      </c>
      <c r="C29" s="318"/>
      <c r="D29" s="318"/>
      <c r="E29" s="318"/>
      <c r="F29" s="318"/>
      <c r="G29" s="316"/>
      <c r="H29" s="370" t="s">
        <v>325</v>
      </c>
      <c r="I29" s="318"/>
      <c r="J29" s="31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2.75" customHeight="1" x14ac:dyDescent="0.2">
      <c r="A30" s="138">
        <v>5</v>
      </c>
      <c r="B30" s="358" t="s">
        <v>326</v>
      </c>
      <c r="C30" s="318"/>
      <c r="D30" s="318"/>
      <c r="E30" s="318"/>
      <c r="F30" s="318"/>
      <c r="G30" s="316"/>
      <c r="H30" s="451" t="s">
        <v>656</v>
      </c>
      <c r="I30" s="318"/>
      <c r="J30" s="316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2.75" customHeight="1" x14ac:dyDescent="0.2">
      <c r="A31" s="368"/>
      <c r="B31" s="318"/>
      <c r="C31" s="318"/>
      <c r="D31" s="318"/>
      <c r="E31" s="318"/>
      <c r="F31" s="318"/>
      <c r="G31" s="318"/>
      <c r="H31" s="318"/>
      <c r="I31" s="318"/>
      <c r="J31" s="316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2.75" customHeight="1" x14ac:dyDescent="0.2">
      <c r="A32" s="353" t="s">
        <v>327</v>
      </c>
      <c r="B32" s="318"/>
      <c r="C32" s="318"/>
      <c r="D32" s="318"/>
      <c r="E32" s="318"/>
      <c r="F32" s="318"/>
      <c r="G32" s="318"/>
      <c r="H32" s="318"/>
      <c r="I32" s="318"/>
      <c r="J32" s="316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2.75" customHeight="1" x14ac:dyDescent="0.2">
      <c r="A33" s="368"/>
      <c r="B33" s="318"/>
      <c r="C33" s="318"/>
      <c r="D33" s="318"/>
      <c r="E33" s="318"/>
      <c r="F33" s="318"/>
      <c r="G33" s="318"/>
      <c r="H33" s="318"/>
      <c r="I33" s="318"/>
      <c r="J33" s="316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2.75" customHeight="1" x14ac:dyDescent="0.2">
      <c r="A34" s="372" t="s">
        <v>328</v>
      </c>
      <c r="B34" s="318"/>
      <c r="C34" s="318"/>
      <c r="D34" s="318"/>
      <c r="E34" s="318"/>
      <c r="F34" s="318"/>
      <c r="G34" s="318"/>
      <c r="H34" s="318"/>
      <c r="I34" s="318"/>
      <c r="J34" s="316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2.75" customHeight="1" x14ac:dyDescent="0.2">
      <c r="A35" s="142">
        <v>1</v>
      </c>
      <c r="B35" s="373" t="s">
        <v>329</v>
      </c>
      <c r="C35" s="318"/>
      <c r="D35" s="318"/>
      <c r="E35" s="318"/>
      <c r="F35" s="318"/>
      <c r="G35" s="316"/>
      <c r="H35" s="373" t="s">
        <v>330</v>
      </c>
      <c r="I35" s="316"/>
      <c r="J35" s="142" t="s">
        <v>331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2.75" customHeight="1" x14ac:dyDescent="0.2">
      <c r="A36" s="138" t="s">
        <v>278</v>
      </c>
      <c r="B36" s="358" t="s">
        <v>699</v>
      </c>
      <c r="C36" s="318"/>
      <c r="D36" s="318"/>
      <c r="E36" s="318"/>
      <c r="F36" s="318"/>
      <c r="G36" s="318"/>
      <c r="H36" s="318"/>
      <c r="I36" s="316"/>
      <c r="J36" s="143">
        <f>H28</f>
        <v>0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2.75" customHeight="1" x14ac:dyDescent="0.2">
      <c r="A37" s="138" t="s">
        <v>280</v>
      </c>
      <c r="B37" s="358" t="s">
        <v>700</v>
      </c>
      <c r="C37" s="318"/>
      <c r="D37" s="318"/>
      <c r="E37" s="318"/>
      <c r="F37" s="318"/>
      <c r="G37" s="318"/>
      <c r="H37" s="318"/>
      <c r="I37" s="316"/>
      <c r="J37" s="14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2.75" customHeight="1" x14ac:dyDescent="0.2">
      <c r="A38" s="138" t="s">
        <v>282</v>
      </c>
      <c r="B38" s="460" t="s">
        <v>701</v>
      </c>
      <c r="C38" s="318"/>
      <c r="D38" s="318"/>
      <c r="E38" s="318"/>
      <c r="F38" s="318"/>
      <c r="G38" s="318"/>
      <c r="H38" s="316"/>
      <c r="I38" s="144">
        <v>0.4</v>
      </c>
      <c r="J38" s="143">
        <f>ROUND(I38*J36,2)</f>
        <v>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customHeight="1" x14ac:dyDescent="0.2">
      <c r="A39" s="138" t="s">
        <v>338</v>
      </c>
      <c r="B39" s="358" t="s">
        <v>702</v>
      </c>
      <c r="C39" s="318"/>
      <c r="D39" s="318"/>
      <c r="E39" s="318"/>
      <c r="F39" s="318"/>
      <c r="G39" s="318"/>
      <c r="H39" s="318"/>
      <c r="I39" s="316"/>
      <c r="J39" s="145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2.75" customHeight="1" x14ac:dyDescent="0.2">
      <c r="A40" s="138" t="s">
        <v>340</v>
      </c>
      <c r="B40" s="358" t="s">
        <v>660</v>
      </c>
      <c r="C40" s="318"/>
      <c r="D40" s="318"/>
      <c r="E40" s="318"/>
      <c r="F40" s="318"/>
      <c r="G40" s="318"/>
      <c r="H40" s="318"/>
      <c r="I40" s="316"/>
      <c r="J40" s="143">
        <f>J36*0.1</f>
        <v>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2.75" customHeight="1" x14ac:dyDescent="0.2">
      <c r="A41" s="374" t="s">
        <v>342</v>
      </c>
      <c r="B41" s="318"/>
      <c r="C41" s="318"/>
      <c r="D41" s="318"/>
      <c r="E41" s="318"/>
      <c r="F41" s="318"/>
      <c r="G41" s="318"/>
      <c r="H41" s="318"/>
      <c r="I41" s="316"/>
      <c r="J41" s="146">
        <f>SUM(J36:J40)</f>
        <v>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2.75" customHeight="1" x14ac:dyDescent="0.2">
      <c r="A42" s="368"/>
      <c r="B42" s="318"/>
      <c r="C42" s="318"/>
      <c r="D42" s="318"/>
      <c r="E42" s="318"/>
      <c r="F42" s="318"/>
      <c r="G42" s="318"/>
      <c r="H42" s="318"/>
      <c r="I42" s="318"/>
      <c r="J42" s="316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2.75" customHeight="1" x14ac:dyDescent="0.2">
      <c r="A43" s="375" t="s">
        <v>343</v>
      </c>
      <c r="B43" s="318"/>
      <c r="C43" s="318"/>
      <c r="D43" s="318"/>
      <c r="E43" s="318"/>
      <c r="F43" s="318"/>
      <c r="G43" s="318"/>
      <c r="H43" s="318"/>
      <c r="I43" s="318"/>
      <c r="J43" s="316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2.75" customHeight="1" x14ac:dyDescent="0.2">
      <c r="A44" s="368"/>
      <c r="B44" s="318"/>
      <c r="C44" s="318"/>
      <c r="D44" s="318"/>
      <c r="E44" s="318"/>
      <c r="F44" s="318"/>
      <c r="G44" s="318"/>
      <c r="H44" s="318"/>
      <c r="I44" s="318"/>
      <c r="J44" s="316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2.75" customHeight="1" x14ac:dyDescent="0.2">
      <c r="A45" s="376" t="s">
        <v>344</v>
      </c>
      <c r="B45" s="318"/>
      <c r="C45" s="318"/>
      <c r="D45" s="318"/>
      <c r="E45" s="318"/>
      <c r="F45" s="318"/>
      <c r="G45" s="318"/>
      <c r="H45" s="318"/>
      <c r="I45" s="318"/>
      <c r="J45" s="316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2.75" customHeight="1" x14ac:dyDescent="0.2">
      <c r="A46" s="377" t="s">
        <v>661</v>
      </c>
      <c r="B46" s="318"/>
      <c r="C46" s="318"/>
      <c r="D46" s="318"/>
      <c r="E46" s="318"/>
      <c r="F46" s="318"/>
      <c r="G46" s="318"/>
      <c r="H46" s="318"/>
      <c r="I46" s="318"/>
      <c r="J46" s="31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2.75" customHeight="1" x14ac:dyDescent="0.2">
      <c r="A47" s="147" t="s">
        <v>346</v>
      </c>
      <c r="B47" s="378" t="s">
        <v>390</v>
      </c>
      <c r="C47" s="318"/>
      <c r="D47" s="318"/>
      <c r="E47" s="318"/>
      <c r="F47" s="318"/>
      <c r="G47" s="318"/>
      <c r="H47" s="318"/>
      <c r="I47" s="316"/>
      <c r="J47" s="148" t="s">
        <v>348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2.75" customHeight="1" x14ac:dyDescent="0.2">
      <c r="A48" s="149" t="s">
        <v>278</v>
      </c>
      <c r="B48" s="379" t="s">
        <v>703</v>
      </c>
      <c r="C48" s="318"/>
      <c r="D48" s="318"/>
      <c r="E48" s="318"/>
      <c r="F48" s="318"/>
      <c r="G48" s="318"/>
      <c r="H48" s="318"/>
      <c r="I48" s="316"/>
      <c r="J48" s="150">
        <f>ROUND($J$41/12,2)</f>
        <v>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2.75" customHeight="1" x14ac:dyDescent="0.2">
      <c r="A49" s="149" t="s">
        <v>280</v>
      </c>
      <c r="B49" s="379" t="s">
        <v>704</v>
      </c>
      <c r="C49" s="318"/>
      <c r="D49" s="318"/>
      <c r="E49" s="318"/>
      <c r="F49" s="318"/>
      <c r="G49" s="318"/>
      <c r="H49" s="318"/>
      <c r="I49" s="316"/>
      <c r="J49" s="150">
        <f>ROUND(($J$41/3)/12,2)</f>
        <v>0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2.75" customHeight="1" x14ac:dyDescent="0.2">
      <c r="A50" s="380" t="s">
        <v>351</v>
      </c>
      <c r="B50" s="318"/>
      <c r="C50" s="318"/>
      <c r="D50" s="318"/>
      <c r="E50" s="318"/>
      <c r="F50" s="318"/>
      <c r="G50" s="318"/>
      <c r="H50" s="318"/>
      <c r="I50" s="316"/>
      <c r="J50" s="150">
        <f>SUM(J48+J49)</f>
        <v>0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2.75" customHeight="1" x14ac:dyDescent="0.2">
      <c r="A51" s="151"/>
      <c r="B51" s="379"/>
      <c r="C51" s="318"/>
      <c r="D51" s="318"/>
      <c r="E51" s="318"/>
      <c r="F51" s="318"/>
      <c r="G51" s="318"/>
      <c r="H51" s="318"/>
      <c r="I51" s="316"/>
      <c r="J51" s="152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2.75" customHeight="1" x14ac:dyDescent="0.2">
      <c r="A52" s="387" t="s">
        <v>351</v>
      </c>
      <c r="B52" s="318"/>
      <c r="C52" s="318"/>
      <c r="D52" s="318"/>
      <c r="E52" s="318"/>
      <c r="F52" s="318"/>
      <c r="G52" s="318"/>
      <c r="H52" s="318"/>
      <c r="I52" s="316"/>
      <c r="J52" s="153">
        <f>J50+J51</f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2.75" customHeight="1" x14ac:dyDescent="0.2">
      <c r="A53" s="368"/>
      <c r="B53" s="318"/>
      <c r="C53" s="318"/>
      <c r="D53" s="318"/>
      <c r="E53" s="318"/>
      <c r="F53" s="318"/>
      <c r="G53" s="318"/>
      <c r="H53" s="318"/>
      <c r="I53" s="318"/>
      <c r="J53" s="316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2.75" customHeight="1" x14ac:dyDescent="0.2">
      <c r="A54" s="385" t="s">
        <v>352</v>
      </c>
      <c r="B54" s="318"/>
      <c r="C54" s="318"/>
      <c r="D54" s="318"/>
      <c r="E54" s="318"/>
      <c r="F54" s="318"/>
      <c r="G54" s="318"/>
      <c r="H54" s="318"/>
      <c r="I54" s="318"/>
      <c r="J54" s="316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2.75" customHeight="1" x14ac:dyDescent="0.2">
      <c r="A55" s="368"/>
      <c r="B55" s="318"/>
      <c r="C55" s="318"/>
      <c r="D55" s="318"/>
      <c r="E55" s="318"/>
      <c r="F55" s="318"/>
      <c r="G55" s="318"/>
      <c r="H55" s="318"/>
      <c r="I55" s="318"/>
      <c r="J55" s="316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2.75" customHeight="1" x14ac:dyDescent="0.2">
      <c r="A56" s="376" t="s">
        <v>353</v>
      </c>
      <c r="B56" s="318"/>
      <c r="C56" s="318"/>
      <c r="D56" s="318"/>
      <c r="E56" s="318"/>
      <c r="F56" s="318"/>
      <c r="G56" s="318"/>
      <c r="H56" s="318"/>
      <c r="I56" s="318"/>
      <c r="J56" s="316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2.75" customHeight="1" x14ac:dyDescent="0.2">
      <c r="A57" s="154" t="s">
        <v>354</v>
      </c>
      <c r="B57" s="388" t="s">
        <v>355</v>
      </c>
      <c r="C57" s="318"/>
      <c r="D57" s="318"/>
      <c r="E57" s="318"/>
      <c r="F57" s="318"/>
      <c r="G57" s="318"/>
      <c r="H57" s="316"/>
      <c r="I57" s="142" t="s">
        <v>356</v>
      </c>
      <c r="J57" s="142" t="s">
        <v>357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2.75" customHeight="1" x14ac:dyDescent="0.2">
      <c r="A58" s="149" t="s">
        <v>278</v>
      </c>
      <c r="B58" s="379" t="s">
        <v>358</v>
      </c>
      <c r="C58" s="318"/>
      <c r="D58" s="318"/>
      <c r="E58" s="318"/>
      <c r="F58" s="318"/>
      <c r="G58" s="318"/>
      <c r="H58" s="316"/>
      <c r="I58" s="155">
        <v>0.2</v>
      </c>
      <c r="J58" s="156">
        <f t="shared" ref="J58:J65" si="0">ROUND($J$41*I58,2)</f>
        <v>0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2.75" customHeight="1" x14ac:dyDescent="0.2">
      <c r="A59" s="149" t="s">
        <v>280</v>
      </c>
      <c r="B59" s="379" t="s">
        <v>705</v>
      </c>
      <c r="C59" s="318"/>
      <c r="D59" s="318"/>
      <c r="E59" s="318"/>
      <c r="F59" s="318"/>
      <c r="G59" s="318"/>
      <c r="H59" s="316"/>
      <c r="I59" s="155">
        <v>0</v>
      </c>
      <c r="J59" s="156">
        <f t="shared" si="0"/>
        <v>0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27.75" customHeight="1" x14ac:dyDescent="0.2">
      <c r="A60" s="149" t="s">
        <v>282</v>
      </c>
      <c r="B60" s="358" t="s">
        <v>665</v>
      </c>
      <c r="C60" s="318"/>
      <c r="D60" s="316"/>
      <c r="E60" s="157" t="s">
        <v>361</v>
      </c>
      <c r="F60" s="234">
        <f>'Aba Carregamento'!B85</f>
        <v>0</v>
      </c>
      <c r="G60" s="157" t="s">
        <v>362</v>
      </c>
      <c r="H60" s="159">
        <f>'Aba Carregamento'!B86</f>
        <v>0</v>
      </c>
      <c r="I60" s="160">
        <f>ROUND((F60*H60),6)</f>
        <v>0</v>
      </c>
      <c r="J60" s="156">
        <f t="shared" si="0"/>
        <v>0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2.75" customHeight="1" x14ac:dyDescent="0.2">
      <c r="A61" s="149" t="s">
        <v>284</v>
      </c>
      <c r="B61" s="379" t="s">
        <v>363</v>
      </c>
      <c r="C61" s="318"/>
      <c r="D61" s="318"/>
      <c r="E61" s="318"/>
      <c r="F61" s="318"/>
      <c r="G61" s="318"/>
      <c r="H61" s="316"/>
      <c r="I61" s="155">
        <v>0</v>
      </c>
      <c r="J61" s="156">
        <f t="shared" si="0"/>
        <v>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2.75" customHeight="1" x14ac:dyDescent="0.2">
      <c r="A62" s="149" t="s">
        <v>336</v>
      </c>
      <c r="B62" s="379" t="s">
        <v>364</v>
      </c>
      <c r="C62" s="318"/>
      <c r="D62" s="318"/>
      <c r="E62" s="318"/>
      <c r="F62" s="318"/>
      <c r="G62" s="318"/>
      <c r="H62" s="316"/>
      <c r="I62" s="155">
        <v>0</v>
      </c>
      <c r="J62" s="156">
        <f t="shared" si="0"/>
        <v>0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2.75" customHeight="1" x14ac:dyDescent="0.2">
      <c r="A63" s="149" t="s">
        <v>338</v>
      </c>
      <c r="B63" s="379" t="s">
        <v>365</v>
      </c>
      <c r="C63" s="318"/>
      <c r="D63" s="318"/>
      <c r="E63" s="318"/>
      <c r="F63" s="318"/>
      <c r="G63" s="318"/>
      <c r="H63" s="316"/>
      <c r="I63" s="155">
        <v>0</v>
      </c>
      <c r="J63" s="156">
        <f t="shared" si="0"/>
        <v>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2.75" customHeight="1" x14ac:dyDescent="0.2">
      <c r="A64" s="149" t="s">
        <v>340</v>
      </c>
      <c r="B64" s="379" t="s">
        <v>366</v>
      </c>
      <c r="C64" s="318"/>
      <c r="D64" s="318"/>
      <c r="E64" s="318"/>
      <c r="F64" s="318"/>
      <c r="G64" s="318"/>
      <c r="H64" s="316"/>
      <c r="I64" s="155">
        <v>0</v>
      </c>
      <c r="J64" s="156">
        <f t="shared" si="0"/>
        <v>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2.75" customHeight="1" x14ac:dyDescent="0.2">
      <c r="A65" s="149" t="s">
        <v>367</v>
      </c>
      <c r="B65" s="379" t="s">
        <v>368</v>
      </c>
      <c r="C65" s="318"/>
      <c r="D65" s="318"/>
      <c r="E65" s="318"/>
      <c r="F65" s="318"/>
      <c r="G65" s="318"/>
      <c r="H65" s="316"/>
      <c r="I65" s="155">
        <v>0.08</v>
      </c>
      <c r="J65" s="156">
        <f t="shared" si="0"/>
        <v>0</v>
      </c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2.75" customHeight="1" x14ac:dyDescent="0.2">
      <c r="A66" s="387" t="s">
        <v>351</v>
      </c>
      <c r="B66" s="318"/>
      <c r="C66" s="318"/>
      <c r="D66" s="318"/>
      <c r="E66" s="318"/>
      <c r="F66" s="318"/>
      <c r="G66" s="318"/>
      <c r="H66" s="316"/>
      <c r="I66" s="161">
        <f t="shared" ref="I66:J66" si="1">SUM(I58:I65)</f>
        <v>0.28000000000000003</v>
      </c>
      <c r="J66" s="153">
        <f t="shared" si="1"/>
        <v>0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.75" customHeight="1" x14ac:dyDescent="0.2">
      <c r="A67" s="368"/>
      <c r="B67" s="318"/>
      <c r="C67" s="318"/>
      <c r="D67" s="318"/>
      <c r="E67" s="318"/>
      <c r="F67" s="318"/>
      <c r="G67" s="318"/>
      <c r="H67" s="318"/>
      <c r="I67" s="318"/>
      <c r="J67" s="316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.75" customHeight="1" x14ac:dyDescent="0.2">
      <c r="A68" s="385" t="s">
        <v>706</v>
      </c>
      <c r="B68" s="318"/>
      <c r="C68" s="318"/>
      <c r="D68" s="318"/>
      <c r="E68" s="318"/>
      <c r="F68" s="318"/>
      <c r="G68" s="318"/>
      <c r="H68" s="318"/>
      <c r="I68" s="318"/>
      <c r="J68" s="316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.75" customHeight="1" x14ac:dyDescent="0.2">
      <c r="A69" s="368"/>
      <c r="B69" s="318"/>
      <c r="C69" s="318"/>
      <c r="D69" s="318"/>
      <c r="E69" s="318"/>
      <c r="F69" s="318"/>
      <c r="G69" s="318"/>
      <c r="H69" s="318"/>
      <c r="I69" s="318"/>
      <c r="J69" s="316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.75" customHeight="1" x14ac:dyDescent="0.2">
      <c r="A70" s="376" t="s">
        <v>370</v>
      </c>
      <c r="B70" s="318"/>
      <c r="C70" s="318"/>
      <c r="D70" s="318"/>
      <c r="E70" s="318"/>
      <c r="F70" s="318"/>
      <c r="G70" s="318"/>
      <c r="H70" s="318"/>
      <c r="I70" s="318"/>
      <c r="J70" s="316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.75" customHeight="1" x14ac:dyDescent="0.2">
      <c r="A71" s="154" t="s">
        <v>371</v>
      </c>
      <c r="B71" s="388" t="s">
        <v>372</v>
      </c>
      <c r="C71" s="318"/>
      <c r="D71" s="318"/>
      <c r="E71" s="318"/>
      <c r="F71" s="318"/>
      <c r="G71" s="318"/>
      <c r="H71" s="318"/>
      <c r="I71" s="316"/>
      <c r="J71" s="142" t="s">
        <v>348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.75" customHeight="1" x14ac:dyDescent="0.2">
      <c r="A72" s="149" t="s">
        <v>278</v>
      </c>
      <c r="B72" s="379" t="s">
        <v>707</v>
      </c>
      <c r="C72" s="318"/>
      <c r="D72" s="318"/>
      <c r="E72" s="318"/>
      <c r="F72" s="318"/>
      <c r="G72" s="318"/>
      <c r="H72" s="318"/>
      <c r="I72" s="316"/>
      <c r="J72" s="156">
        <f>IF(ROUND((I75*I73*I74)-(J36*0.06),2)&lt;0,0,ROUND((I75*I73*I74)-(J36*0.06),2))*1+(I73*I74*21.726-0.06*J36)*0</f>
        <v>0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.75" customHeight="1" x14ac:dyDescent="0.2">
      <c r="A73" s="149"/>
      <c r="B73" s="392" t="s">
        <v>374</v>
      </c>
      <c r="C73" s="318"/>
      <c r="D73" s="318"/>
      <c r="E73" s="318"/>
      <c r="F73" s="318"/>
      <c r="G73" s="318"/>
      <c r="H73" s="316"/>
      <c r="I73" s="237">
        <v>4.8</v>
      </c>
      <c r="J73" s="163" t="s">
        <v>375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.75" customHeight="1" x14ac:dyDescent="0.2">
      <c r="A74" s="149"/>
      <c r="B74" s="392" t="s">
        <v>376</v>
      </c>
      <c r="C74" s="318"/>
      <c r="D74" s="318"/>
      <c r="E74" s="318"/>
      <c r="F74" s="318"/>
      <c r="G74" s="318"/>
      <c r="H74" s="316"/>
      <c r="I74" s="164">
        <v>2</v>
      </c>
      <c r="J74" s="163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.75" customHeight="1" x14ac:dyDescent="0.2">
      <c r="A75" s="149"/>
      <c r="B75" s="392" t="s">
        <v>377</v>
      </c>
      <c r="C75" s="318"/>
      <c r="D75" s="318"/>
      <c r="E75" s="318"/>
      <c r="F75" s="318"/>
      <c r="G75" s="318"/>
      <c r="H75" s="316"/>
      <c r="I75" s="165">
        <f>'Aba Carregamento'!B92</f>
        <v>0</v>
      </c>
      <c r="J75" s="163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.75" customHeight="1" x14ac:dyDescent="0.2">
      <c r="A76" s="149" t="s">
        <v>280</v>
      </c>
      <c r="B76" s="379" t="s">
        <v>708</v>
      </c>
      <c r="C76" s="318"/>
      <c r="D76" s="318"/>
      <c r="E76" s="318"/>
      <c r="F76" s="318"/>
      <c r="G76" s="318"/>
      <c r="H76" s="318"/>
      <c r="I76" s="316"/>
      <c r="J76" s="156">
        <f>ROUND(I78*I77*(1-I79),2)*1+ROUND(22*6*(1-I79),2)*0</f>
        <v>0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.75" customHeight="1" x14ac:dyDescent="0.2">
      <c r="A77" s="149"/>
      <c r="B77" s="392" t="s">
        <v>379</v>
      </c>
      <c r="C77" s="318"/>
      <c r="D77" s="318"/>
      <c r="E77" s="318"/>
      <c r="F77" s="318"/>
      <c r="G77" s="318"/>
      <c r="H77" s="316"/>
      <c r="I77" s="162">
        <f>'Aba Carregamento'!B87</f>
        <v>0</v>
      </c>
      <c r="J77" s="163" t="s">
        <v>375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.75" customHeight="1" x14ac:dyDescent="0.2">
      <c r="A78" s="166"/>
      <c r="B78" s="392" t="s">
        <v>380</v>
      </c>
      <c r="C78" s="318"/>
      <c r="D78" s="318"/>
      <c r="E78" s="318"/>
      <c r="F78" s="318"/>
      <c r="G78" s="318"/>
      <c r="H78" s="316"/>
      <c r="I78" s="165">
        <f>'Aba Carregamento'!B89</f>
        <v>0</v>
      </c>
      <c r="J78" s="163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.75" customHeight="1" x14ac:dyDescent="0.2">
      <c r="A79" s="149"/>
      <c r="B79" s="392" t="s">
        <v>381</v>
      </c>
      <c r="C79" s="318"/>
      <c r="D79" s="318"/>
      <c r="E79" s="318"/>
      <c r="F79" s="318"/>
      <c r="G79" s="318"/>
      <c r="H79" s="316"/>
      <c r="I79" s="238">
        <f>'Aba Carregamento'!B88</f>
        <v>0</v>
      </c>
      <c r="J79" s="156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.75" customHeight="1" x14ac:dyDescent="0.2">
      <c r="A80" s="149" t="s">
        <v>282</v>
      </c>
      <c r="B80" s="379" t="s">
        <v>382</v>
      </c>
      <c r="C80" s="318"/>
      <c r="D80" s="318"/>
      <c r="E80" s="318"/>
      <c r="F80" s="318"/>
      <c r="G80" s="318"/>
      <c r="H80" s="318"/>
      <c r="I80" s="316"/>
      <c r="J80" s="156">
        <v>0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.75" customHeight="1" x14ac:dyDescent="0.2">
      <c r="A81" s="149" t="s">
        <v>284</v>
      </c>
      <c r="B81" s="358" t="s">
        <v>709</v>
      </c>
      <c r="C81" s="318"/>
      <c r="D81" s="318"/>
      <c r="E81" s="318"/>
      <c r="F81" s="318"/>
      <c r="G81" s="318"/>
      <c r="H81" s="318"/>
      <c r="I81" s="316"/>
      <c r="J81" s="156">
        <v>0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2.75" customHeight="1" x14ac:dyDescent="0.2">
      <c r="A82" s="149" t="s">
        <v>336</v>
      </c>
      <c r="B82" s="358" t="s">
        <v>710</v>
      </c>
      <c r="C82" s="318"/>
      <c r="D82" s="318"/>
      <c r="E82" s="318"/>
      <c r="F82" s="318"/>
      <c r="G82" s="318"/>
      <c r="H82" s="318"/>
      <c r="I82" s="316"/>
      <c r="J82" s="170">
        <v>15.02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2.75" customHeight="1" x14ac:dyDescent="0.2">
      <c r="A83" s="149" t="s">
        <v>338</v>
      </c>
      <c r="B83" s="379" t="s">
        <v>386</v>
      </c>
      <c r="C83" s="318"/>
      <c r="D83" s="318"/>
      <c r="E83" s="318"/>
      <c r="F83" s="318"/>
      <c r="G83" s="318"/>
      <c r="H83" s="318"/>
      <c r="I83" s="316"/>
      <c r="J83" s="171" t="s">
        <v>375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2.75" customHeight="1" x14ac:dyDescent="0.2">
      <c r="A84" s="387" t="s">
        <v>342</v>
      </c>
      <c r="B84" s="318"/>
      <c r="C84" s="318"/>
      <c r="D84" s="318"/>
      <c r="E84" s="318"/>
      <c r="F84" s="318"/>
      <c r="G84" s="318"/>
      <c r="H84" s="318"/>
      <c r="I84" s="316"/>
      <c r="J84" s="153">
        <f>SUM(J72:J82)</f>
        <v>15.02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2.75" customHeight="1" x14ac:dyDescent="0.2">
      <c r="A85" s="368"/>
      <c r="B85" s="318"/>
      <c r="C85" s="318"/>
      <c r="D85" s="318"/>
      <c r="E85" s="318"/>
      <c r="F85" s="318"/>
      <c r="G85" s="318"/>
      <c r="H85" s="318"/>
      <c r="I85" s="318"/>
      <c r="J85" s="316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2.75" customHeight="1" x14ac:dyDescent="0.2">
      <c r="A86" s="385" t="s">
        <v>387</v>
      </c>
      <c r="B86" s="318"/>
      <c r="C86" s="318"/>
      <c r="D86" s="318"/>
      <c r="E86" s="318"/>
      <c r="F86" s="318"/>
      <c r="G86" s="318"/>
      <c r="H86" s="318"/>
      <c r="I86" s="318"/>
      <c r="J86" s="316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2.75" customHeight="1" x14ac:dyDescent="0.2">
      <c r="A87" s="368"/>
      <c r="B87" s="318"/>
      <c r="C87" s="318"/>
      <c r="D87" s="318"/>
      <c r="E87" s="318"/>
      <c r="F87" s="318"/>
      <c r="G87" s="318"/>
      <c r="H87" s="318"/>
      <c r="I87" s="318"/>
      <c r="J87" s="316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2.75" customHeight="1" x14ac:dyDescent="0.2">
      <c r="A88" s="376" t="s">
        <v>388</v>
      </c>
      <c r="B88" s="318"/>
      <c r="C88" s="318"/>
      <c r="D88" s="318"/>
      <c r="E88" s="318"/>
      <c r="F88" s="318"/>
      <c r="G88" s="318"/>
      <c r="H88" s="318"/>
      <c r="I88" s="318"/>
      <c r="J88" s="316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2.75" customHeight="1" x14ac:dyDescent="0.2">
      <c r="A89" s="142">
        <v>2</v>
      </c>
      <c r="B89" s="373" t="s">
        <v>389</v>
      </c>
      <c r="C89" s="318"/>
      <c r="D89" s="318"/>
      <c r="E89" s="318"/>
      <c r="F89" s="318"/>
      <c r="G89" s="318"/>
      <c r="H89" s="318"/>
      <c r="I89" s="316"/>
      <c r="J89" s="142" t="s">
        <v>348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2.75" customHeight="1" x14ac:dyDescent="0.2">
      <c r="A90" s="138" t="s">
        <v>346</v>
      </c>
      <c r="B90" s="358" t="s">
        <v>390</v>
      </c>
      <c r="C90" s="318"/>
      <c r="D90" s="318"/>
      <c r="E90" s="318"/>
      <c r="F90" s="318"/>
      <c r="G90" s="318"/>
      <c r="H90" s="318"/>
      <c r="I90" s="316"/>
      <c r="J90" s="172">
        <f>J52</f>
        <v>0</v>
      </c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2.75" customHeight="1" x14ac:dyDescent="0.2">
      <c r="A91" s="138" t="s">
        <v>354</v>
      </c>
      <c r="B91" s="358" t="s">
        <v>355</v>
      </c>
      <c r="C91" s="318"/>
      <c r="D91" s="318"/>
      <c r="E91" s="318"/>
      <c r="F91" s="318"/>
      <c r="G91" s="318"/>
      <c r="H91" s="318"/>
      <c r="I91" s="316"/>
      <c r="J91" s="172">
        <f>J66</f>
        <v>0</v>
      </c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2.75" customHeight="1" x14ac:dyDescent="0.2">
      <c r="A92" s="138" t="s">
        <v>371</v>
      </c>
      <c r="B92" s="358" t="s">
        <v>372</v>
      </c>
      <c r="C92" s="318"/>
      <c r="D92" s="318"/>
      <c r="E92" s="318"/>
      <c r="F92" s="318"/>
      <c r="G92" s="318"/>
      <c r="H92" s="318"/>
      <c r="I92" s="316"/>
      <c r="J92" s="172">
        <f>J84</f>
        <v>15.02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2.75" customHeight="1" x14ac:dyDescent="0.2">
      <c r="A93" s="374" t="s">
        <v>351</v>
      </c>
      <c r="B93" s="318"/>
      <c r="C93" s="318"/>
      <c r="D93" s="318"/>
      <c r="E93" s="318"/>
      <c r="F93" s="318"/>
      <c r="G93" s="318"/>
      <c r="H93" s="318"/>
      <c r="I93" s="316"/>
      <c r="J93" s="173">
        <f>SUM(J90+J91+J92)</f>
        <v>15.02</v>
      </c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2.75" customHeight="1" x14ac:dyDescent="0.2">
      <c r="A94" s="368"/>
      <c r="B94" s="318"/>
      <c r="C94" s="318"/>
      <c r="D94" s="318"/>
      <c r="E94" s="318"/>
      <c r="F94" s="318"/>
      <c r="G94" s="318"/>
      <c r="H94" s="318"/>
      <c r="I94" s="318"/>
      <c r="J94" s="316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2.75" customHeight="1" x14ac:dyDescent="0.2">
      <c r="A95" s="376" t="s">
        <v>391</v>
      </c>
      <c r="B95" s="318"/>
      <c r="C95" s="318"/>
      <c r="D95" s="318"/>
      <c r="E95" s="318"/>
      <c r="F95" s="318"/>
      <c r="G95" s="318"/>
      <c r="H95" s="318"/>
      <c r="I95" s="318"/>
      <c r="J95" s="316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2.75" customHeight="1" x14ac:dyDescent="0.2">
      <c r="A96" s="154">
        <v>3</v>
      </c>
      <c r="B96" s="388" t="s">
        <v>392</v>
      </c>
      <c r="C96" s="318"/>
      <c r="D96" s="318"/>
      <c r="E96" s="318"/>
      <c r="F96" s="318"/>
      <c r="G96" s="318"/>
      <c r="H96" s="318"/>
      <c r="I96" s="316"/>
      <c r="J96" s="154" t="s">
        <v>393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2.75" customHeight="1" x14ac:dyDescent="0.2">
      <c r="A97" s="149" t="s">
        <v>278</v>
      </c>
      <c r="B97" s="358" t="s">
        <v>711</v>
      </c>
      <c r="C97" s="318"/>
      <c r="D97" s="318"/>
      <c r="E97" s="318"/>
      <c r="F97" s="318"/>
      <c r="G97" s="318"/>
      <c r="H97" s="318"/>
      <c r="I97" s="316"/>
      <c r="J97" s="156">
        <f>ROUND((($J$41/12)+($J$48/12)+($J$41/12/12)+($J$49/12))*(30/30)*0.05,2)</f>
        <v>0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2.75" customHeight="1" x14ac:dyDescent="0.2">
      <c r="A98" s="149" t="s">
        <v>280</v>
      </c>
      <c r="B98" s="358" t="s">
        <v>395</v>
      </c>
      <c r="C98" s="318"/>
      <c r="D98" s="318"/>
      <c r="E98" s="318"/>
      <c r="F98" s="318"/>
      <c r="G98" s="318"/>
      <c r="H98" s="318"/>
      <c r="I98" s="316"/>
      <c r="J98" s="156">
        <f>ROUND($J$97*I65,2)</f>
        <v>0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 x14ac:dyDescent="0.2">
      <c r="A99" s="149" t="s">
        <v>282</v>
      </c>
      <c r="B99" s="358" t="s">
        <v>712</v>
      </c>
      <c r="C99" s="318"/>
      <c r="D99" s="318"/>
      <c r="E99" s="318"/>
      <c r="F99" s="318"/>
      <c r="G99" s="318"/>
      <c r="H99" s="318"/>
      <c r="I99" s="316"/>
      <c r="J99" s="156">
        <f>ROUND(0.08*0.4*($J$41+$J$48+$J$49+J110)*0.05,2)</f>
        <v>0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2.75" customHeight="1" x14ac:dyDescent="0.2">
      <c r="A100" s="149" t="s">
        <v>284</v>
      </c>
      <c r="B100" s="358" t="s">
        <v>713</v>
      </c>
      <c r="C100" s="318"/>
      <c r="D100" s="318"/>
      <c r="E100" s="318"/>
      <c r="F100" s="318"/>
      <c r="G100" s="318"/>
      <c r="H100" s="318"/>
      <c r="I100" s="316"/>
      <c r="J100" s="156">
        <f>ROUND(((($J$41/30)*7)/$H$11)*1,2)</f>
        <v>0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2.75" customHeight="1" x14ac:dyDescent="0.2">
      <c r="A101" s="149" t="s">
        <v>336</v>
      </c>
      <c r="B101" s="358" t="s">
        <v>398</v>
      </c>
      <c r="C101" s="318"/>
      <c r="D101" s="318"/>
      <c r="E101" s="318"/>
      <c r="F101" s="318"/>
      <c r="G101" s="318"/>
      <c r="H101" s="318"/>
      <c r="I101" s="316"/>
      <c r="J101" s="156">
        <f>ROUND($I$66*J100,2)</f>
        <v>0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2.75" customHeight="1" x14ac:dyDescent="0.2">
      <c r="A102" s="149" t="s">
        <v>338</v>
      </c>
      <c r="B102" s="358" t="s">
        <v>714</v>
      </c>
      <c r="C102" s="318"/>
      <c r="D102" s="318"/>
      <c r="E102" s="318"/>
      <c r="F102" s="318"/>
      <c r="G102" s="318"/>
      <c r="H102" s="318"/>
      <c r="I102" s="316"/>
      <c r="J102" s="156">
        <f>ROUND(0.08*0.4*($J$41+$J$48+$J$49+J110)*1,2)</f>
        <v>0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2.75" customHeight="1" x14ac:dyDescent="0.2">
      <c r="A103" s="387" t="s">
        <v>351</v>
      </c>
      <c r="B103" s="318"/>
      <c r="C103" s="318"/>
      <c r="D103" s="318"/>
      <c r="E103" s="318"/>
      <c r="F103" s="318"/>
      <c r="G103" s="318"/>
      <c r="H103" s="318"/>
      <c r="I103" s="316"/>
      <c r="J103" s="153">
        <f>SUM(J97:J102)</f>
        <v>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42.75" customHeight="1" x14ac:dyDescent="0.2">
      <c r="A104" s="390" t="s">
        <v>400</v>
      </c>
      <c r="B104" s="318"/>
      <c r="C104" s="318"/>
      <c r="D104" s="318"/>
      <c r="E104" s="318"/>
      <c r="F104" s="318"/>
      <c r="G104" s="318"/>
      <c r="H104" s="318"/>
      <c r="I104" s="318"/>
      <c r="J104" s="316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2.75" customHeight="1" x14ac:dyDescent="0.2">
      <c r="A105" s="376" t="s">
        <v>401</v>
      </c>
      <c r="B105" s="318"/>
      <c r="C105" s="318"/>
      <c r="D105" s="318"/>
      <c r="E105" s="318"/>
      <c r="F105" s="318"/>
      <c r="G105" s="318"/>
      <c r="H105" s="318"/>
      <c r="I105" s="318"/>
      <c r="J105" s="316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2.75" customHeight="1" x14ac:dyDescent="0.2">
      <c r="A106" s="385" t="s">
        <v>402</v>
      </c>
      <c r="B106" s="318"/>
      <c r="C106" s="318"/>
      <c r="D106" s="318"/>
      <c r="E106" s="318"/>
      <c r="F106" s="318"/>
      <c r="G106" s="318"/>
      <c r="H106" s="318"/>
      <c r="I106" s="318"/>
      <c r="J106" s="316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2.75" customHeight="1" x14ac:dyDescent="0.2">
      <c r="A107" s="391" t="s">
        <v>715</v>
      </c>
      <c r="B107" s="318"/>
      <c r="C107" s="318"/>
      <c r="D107" s="318"/>
      <c r="E107" s="318"/>
      <c r="F107" s="318"/>
      <c r="G107" s="318"/>
      <c r="H107" s="318"/>
      <c r="I107" s="316"/>
      <c r="J107" s="174">
        <f>ROUND(J41/12,2)+J41+J48+J49</f>
        <v>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2.75" customHeight="1" x14ac:dyDescent="0.2">
      <c r="A108" s="376" t="s">
        <v>404</v>
      </c>
      <c r="B108" s="318"/>
      <c r="C108" s="318"/>
      <c r="D108" s="318"/>
      <c r="E108" s="318"/>
      <c r="F108" s="318"/>
      <c r="G108" s="318"/>
      <c r="H108" s="318"/>
      <c r="I108" s="318"/>
      <c r="J108" s="316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2.75" customHeight="1" x14ac:dyDescent="0.25">
      <c r="A109" s="175" t="s">
        <v>405</v>
      </c>
      <c r="B109" s="388" t="s">
        <v>406</v>
      </c>
      <c r="C109" s="318"/>
      <c r="D109" s="318"/>
      <c r="E109" s="318"/>
      <c r="F109" s="318"/>
      <c r="G109" s="318"/>
      <c r="H109" s="318"/>
      <c r="I109" s="316"/>
      <c r="J109" s="175" t="s">
        <v>348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2.75" customHeight="1" x14ac:dyDescent="0.2">
      <c r="A110" s="151" t="s">
        <v>278</v>
      </c>
      <c r="B110" s="379" t="s">
        <v>716</v>
      </c>
      <c r="C110" s="318"/>
      <c r="D110" s="318"/>
      <c r="E110" s="318"/>
      <c r="F110" s="318"/>
      <c r="G110" s="318"/>
      <c r="H110" s="318"/>
      <c r="I110" s="316"/>
      <c r="J110" s="156">
        <v>0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2.75" customHeight="1" x14ac:dyDescent="0.2">
      <c r="A111" s="151" t="s">
        <v>280</v>
      </c>
      <c r="B111" s="379" t="s">
        <v>717</v>
      </c>
      <c r="C111" s="318"/>
      <c r="D111" s="318"/>
      <c r="E111" s="318"/>
      <c r="F111" s="318"/>
      <c r="G111" s="318"/>
      <c r="H111" s="318"/>
      <c r="I111" s="316"/>
      <c r="J111" s="176">
        <f>ROUND((($J$107/30)*2.96)/12,2)</f>
        <v>0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2.75" customHeight="1" x14ac:dyDescent="0.2">
      <c r="A112" s="151" t="s">
        <v>282</v>
      </c>
      <c r="B112" s="379" t="s">
        <v>718</v>
      </c>
      <c r="C112" s="318"/>
      <c r="D112" s="318"/>
      <c r="E112" s="318"/>
      <c r="F112" s="318"/>
      <c r="G112" s="318"/>
      <c r="H112" s="318"/>
      <c r="I112" s="316"/>
      <c r="J112" s="176">
        <f>ROUND((($J$107/30)*5)/12*0.015,2)</f>
        <v>0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2.75" customHeight="1" x14ac:dyDescent="0.2">
      <c r="A113" s="151" t="s">
        <v>284</v>
      </c>
      <c r="B113" s="379" t="s">
        <v>719</v>
      </c>
      <c r="C113" s="318"/>
      <c r="D113" s="318"/>
      <c r="E113" s="318"/>
      <c r="F113" s="318"/>
      <c r="G113" s="318"/>
      <c r="H113" s="318"/>
      <c r="I113" s="316"/>
      <c r="J113" s="152">
        <f>ROUND(((($J$107/30)*15)/12)*0.0078,2)</f>
        <v>0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2.75" customHeight="1" x14ac:dyDescent="0.2">
      <c r="A114" s="151" t="s">
        <v>336</v>
      </c>
      <c r="B114" s="379" t="s">
        <v>720</v>
      </c>
      <c r="C114" s="318"/>
      <c r="D114" s="318"/>
      <c r="E114" s="318"/>
      <c r="F114" s="318"/>
      <c r="G114" s="318"/>
      <c r="H114" s="318"/>
      <c r="I114" s="316"/>
      <c r="J114" s="156">
        <f>ROUND(((($J$41+$J$41/3)*4/12)/12)*0.02,2)</f>
        <v>0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2.75" customHeight="1" x14ac:dyDescent="0.2">
      <c r="A115" s="177" t="s">
        <v>338</v>
      </c>
      <c r="B115" s="393" t="s">
        <v>721</v>
      </c>
      <c r="C115" s="318"/>
      <c r="D115" s="318"/>
      <c r="E115" s="318"/>
      <c r="F115" s="318"/>
      <c r="G115" s="318"/>
      <c r="H115" s="318"/>
      <c r="I115" s="316"/>
      <c r="J115" s="152">
        <f>ROUND(((($J$107/30)*5)/12),2)</f>
        <v>0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2.75" customHeight="1" x14ac:dyDescent="0.2">
      <c r="A116" s="387" t="s">
        <v>351</v>
      </c>
      <c r="B116" s="318"/>
      <c r="C116" s="318"/>
      <c r="D116" s="318"/>
      <c r="E116" s="318"/>
      <c r="F116" s="318"/>
      <c r="G116" s="318"/>
      <c r="H116" s="318"/>
      <c r="I116" s="316"/>
      <c r="J116" s="178">
        <f>SUM(J110:J115)</f>
        <v>0</v>
      </c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2.75" customHeight="1" x14ac:dyDescent="0.2">
      <c r="A117" s="151"/>
      <c r="B117" s="379"/>
      <c r="C117" s="318"/>
      <c r="D117" s="318"/>
      <c r="E117" s="318"/>
      <c r="F117" s="318"/>
      <c r="G117" s="318"/>
      <c r="H117" s="318"/>
      <c r="I117" s="316"/>
      <c r="J117" s="152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2.75" customHeight="1" x14ac:dyDescent="0.2">
      <c r="A118" s="387" t="s">
        <v>351</v>
      </c>
      <c r="B118" s="318"/>
      <c r="C118" s="318"/>
      <c r="D118" s="318"/>
      <c r="E118" s="318"/>
      <c r="F118" s="318"/>
      <c r="G118" s="318"/>
      <c r="H118" s="318"/>
      <c r="I118" s="316"/>
      <c r="J118" s="153">
        <f>SUM(J116:J117)</f>
        <v>0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67.5" customHeight="1" x14ac:dyDescent="0.2">
      <c r="A119" s="385" t="s">
        <v>596</v>
      </c>
      <c r="B119" s="318"/>
      <c r="C119" s="318"/>
      <c r="D119" s="318"/>
      <c r="E119" s="318"/>
      <c r="F119" s="318"/>
      <c r="G119" s="318"/>
      <c r="H119" s="318"/>
      <c r="I119" s="318"/>
      <c r="J119" s="316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2.75" customHeight="1" x14ac:dyDescent="0.2">
      <c r="A120" s="383"/>
      <c r="B120" s="318"/>
      <c r="C120" s="318"/>
      <c r="D120" s="318"/>
      <c r="E120" s="318"/>
      <c r="F120" s="318"/>
      <c r="G120" s="318"/>
      <c r="H120" s="318"/>
      <c r="I120" s="318"/>
      <c r="J120" s="316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2.75" customHeight="1" x14ac:dyDescent="0.2">
      <c r="A121" s="376" t="s">
        <v>414</v>
      </c>
      <c r="B121" s="318"/>
      <c r="C121" s="318"/>
      <c r="D121" s="318"/>
      <c r="E121" s="318"/>
      <c r="F121" s="318"/>
      <c r="G121" s="318"/>
      <c r="H121" s="318"/>
      <c r="I121" s="318"/>
      <c r="J121" s="316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2.75" customHeight="1" x14ac:dyDescent="0.2">
      <c r="A122" s="154" t="s">
        <v>415</v>
      </c>
      <c r="B122" s="388" t="s">
        <v>416</v>
      </c>
      <c r="C122" s="318"/>
      <c r="D122" s="318"/>
      <c r="E122" s="318"/>
      <c r="F122" s="318"/>
      <c r="G122" s="318"/>
      <c r="H122" s="318"/>
      <c r="I122" s="316"/>
      <c r="J122" s="179" t="s">
        <v>348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2.75" customHeight="1" x14ac:dyDescent="0.2">
      <c r="A123" s="149" t="s">
        <v>278</v>
      </c>
      <c r="B123" s="379" t="s">
        <v>417</v>
      </c>
      <c r="C123" s="318"/>
      <c r="D123" s="318"/>
      <c r="E123" s="318"/>
      <c r="F123" s="318"/>
      <c r="G123" s="318"/>
      <c r="H123" s="318"/>
      <c r="I123" s="316"/>
      <c r="J123" s="156">
        <v>0</v>
      </c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2.75" customHeight="1" x14ac:dyDescent="0.2">
      <c r="A124" s="420" t="s">
        <v>351</v>
      </c>
      <c r="B124" s="318"/>
      <c r="C124" s="318"/>
      <c r="D124" s="318"/>
      <c r="E124" s="318"/>
      <c r="F124" s="318"/>
      <c r="G124" s="318"/>
      <c r="H124" s="318"/>
      <c r="I124" s="316"/>
      <c r="J124" s="156">
        <v>0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2.75" customHeight="1" x14ac:dyDescent="0.2">
      <c r="A125" s="151" t="s">
        <v>280</v>
      </c>
      <c r="B125" s="379" t="s">
        <v>418</v>
      </c>
      <c r="C125" s="318"/>
      <c r="D125" s="318"/>
      <c r="E125" s="318"/>
      <c r="F125" s="318"/>
      <c r="G125" s="318"/>
      <c r="H125" s="318"/>
      <c r="I125" s="316"/>
      <c r="J125" s="152">
        <f>ROUND(I66*J124,2)</f>
        <v>0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2.75" customHeight="1" x14ac:dyDescent="0.2">
      <c r="A126" s="387" t="s">
        <v>351</v>
      </c>
      <c r="B126" s="318"/>
      <c r="C126" s="318"/>
      <c r="D126" s="318"/>
      <c r="E126" s="318"/>
      <c r="F126" s="318"/>
      <c r="G126" s="318"/>
      <c r="H126" s="318"/>
      <c r="I126" s="316"/>
      <c r="J126" s="153">
        <f>SUM(J124:J125)</f>
        <v>0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2.75" customHeight="1" x14ac:dyDescent="0.2">
      <c r="A127" s="383"/>
      <c r="B127" s="318"/>
      <c r="C127" s="318"/>
      <c r="D127" s="318"/>
      <c r="E127" s="318"/>
      <c r="F127" s="318"/>
      <c r="G127" s="318"/>
      <c r="H127" s="318"/>
      <c r="I127" s="318"/>
      <c r="J127" s="316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2.75" customHeight="1" x14ac:dyDescent="0.2">
      <c r="A128" s="385" t="s">
        <v>419</v>
      </c>
      <c r="B128" s="318"/>
      <c r="C128" s="318"/>
      <c r="D128" s="318"/>
      <c r="E128" s="318"/>
      <c r="F128" s="318"/>
      <c r="G128" s="318"/>
      <c r="H128" s="318"/>
      <c r="I128" s="318"/>
      <c r="J128" s="316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2.75" customHeight="1" x14ac:dyDescent="0.2">
      <c r="A129" s="383"/>
      <c r="B129" s="318"/>
      <c r="C129" s="318"/>
      <c r="D129" s="318"/>
      <c r="E129" s="318"/>
      <c r="F129" s="318"/>
      <c r="G129" s="318"/>
      <c r="H129" s="318"/>
      <c r="I129" s="318"/>
      <c r="J129" s="316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2.75" customHeight="1" x14ac:dyDescent="0.2">
      <c r="A130" s="376" t="s">
        <v>420</v>
      </c>
      <c r="B130" s="318"/>
      <c r="C130" s="318"/>
      <c r="D130" s="318"/>
      <c r="E130" s="318"/>
      <c r="F130" s="318"/>
      <c r="G130" s="318"/>
      <c r="H130" s="318"/>
      <c r="I130" s="318"/>
      <c r="J130" s="316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2.75" customHeight="1" x14ac:dyDescent="0.2">
      <c r="A131" s="142">
        <v>4</v>
      </c>
      <c r="B131" s="373" t="s">
        <v>421</v>
      </c>
      <c r="C131" s="318"/>
      <c r="D131" s="318"/>
      <c r="E131" s="318"/>
      <c r="F131" s="318"/>
      <c r="G131" s="318"/>
      <c r="H131" s="318"/>
      <c r="I131" s="316"/>
      <c r="J131" s="179" t="s">
        <v>348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2.75" customHeight="1" x14ac:dyDescent="0.2">
      <c r="A132" s="138" t="s">
        <v>405</v>
      </c>
      <c r="B132" s="358" t="s">
        <v>406</v>
      </c>
      <c r="C132" s="318"/>
      <c r="D132" s="318"/>
      <c r="E132" s="318"/>
      <c r="F132" s="318"/>
      <c r="G132" s="318"/>
      <c r="H132" s="318"/>
      <c r="I132" s="316"/>
      <c r="J132" s="156">
        <f>J118</f>
        <v>0</v>
      </c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2.75" customHeight="1" x14ac:dyDescent="0.2">
      <c r="A133" s="138" t="s">
        <v>422</v>
      </c>
      <c r="B133" s="358" t="s">
        <v>416</v>
      </c>
      <c r="C133" s="318"/>
      <c r="D133" s="318"/>
      <c r="E133" s="318"/>
      <c r="F133" s="318"/>
      <c r="G133" s="318"/>
      <c r="H133" s="318"/>
      <c r="I133" s="316"/>
      <c r="J133" s="156">
        <f>J126</f>
        <v>0</v>
      </c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2.75" customHeight="1" x14ac:dyDescent="0.2">
      <c r="A134" s="374" t="s">
        <v>351</v>
      </c>
      <c r="B134" s="318"/>
      <c r="C134" s="318"/>
      <c r="D134" s="318"/>
      <c r="E134" s="318"/>
      <c r="F134" s="318"/>
      <c r="G134" s="318"/>
      <c r="H134" s="318"/>
      <c r="I134" s="316"/>
      <c r="J134" s="153">
        <f>SUM(J132+J133)</f>
        <v>0</v>
      </c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2.75" customHeight="1" x14ac:dyDescent="0.2">
      <c r="A135" s="368"/>
      <c r="B135" s="318"/>
      <c r="C135" s="318"/>
      <c r="D135" s="318"/>
      <c r="E135" s="318"/>
      <c r="F135" s="318"/>
      <c r="G135" s="318"/>
      <c r="H135" s="318"/>
      <c r="I135" s="318"/>
      <c r="J135" s="316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2.75" customHeight="1" x14ac:dyDescent="0.2">
      <c r="A136" s="376" t="s">
        <v>423</v>
      </c>
      <c r="B136" s="318"/>
      <c r="C136" s="318"/>
      <c r="D136" s="318"/>
      <c r="E136" s="318"/>
      <c r="F136" s="318"/>
      <c r="G136" s="318"/>
      <c r="H136" s="318"/>
      <c r="I136" s="318"/>
      <c r="J136" s="316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2.75" customHeight="1" x14ac:dyDescent="0.2">
      <c r="A137" s="154">
        <v>5</v>
      </c>
      <c r="B137" s="388" t="s">
        <v>424</v>
      </c>
      <c r="C137" s="318"/>
      <c r="D137" s="318"/>
      <c r="E137" s="318"/>
      <c r="F137" s="318"/>
      <c r="G137" s="318"/>
      <c r="H137" s="318"/>
      <c r="I137" s="316"/>
      <c r="J137" s="154" t="s">
        <v>348</v>
      </c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2.75" customHeight="1" x14ac:dyDescent="0.2">
      <c r="A138" s="149" t="s">
        <v>278</v>
      </c>
      <c r="B138" s="379" t="s">
        <v>425</v>
      </c>
      <c r="C138" s="318"/>
      <c r="D138" s="318"/>
      <c r="E138" s="318"/>
      <c r="F138" s="318"/>
      <c r="G138" s="318"/>
      <c r="H138" s="318"/>
      <c r="I138" s="316"/>
      <c r="J138" s="156">
        <f>Insumos!F124</f>
        <v>0</v>
      </c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2.75" customHeight="1" x14ac:dyDescent="0.2">
      <c r="A139" s="149" t="s">
        <v>280</v>
      </c>
      <c r="B139" s="379" t="s">
        <v>426</v>
      </c>
      <c r="C139" s="318"/>
      <c r="D139" s="318"/>
      <c r="E139" s="318"/>
      <c r="F139" s="318"/>
      <c r="G139" s="318"/>
      <c r="H139" s="318"/>
      <c r="I139" s="316"/>
      <c r="J139" s="169">
        <v>0</v>
      </c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2.75" customHeight="1" x14ac:dyDescent="0.2">
      <c r="A140" s="149" t="s">
        <v>282</v>
      </c>
      <c r="B140" s="379" t="s">
        <v>427</v>
      </c>
      <c r="C140" s="318"/>
      <c r="D140" s="318"/>
      <c r="E140" s="318"/>
      <c r="F140" s="318"/>
      <c r="G140" s="318"/>
      <c r="H140" s="318"/>
      <c r="I140" s="316"/>
      <c r="J140" s="169">
        <v>0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2.75" customHeight="1" x14ac:dyDescent="0.2">
      <c r="A141" s="149" t="s">
        <v>284</v>
      </c>
      <c r="B141" s="379" t="s">
        <v>428</v>
      </c>
      <c r="C141" s="318"/>
      <c r="D141" s="318"/>
      <c r="E141" s="318"/>
      <c r="F141" s="318"/>
      <c r="G141" s="318"/>
      <c r="H141" s="318"/>
      <c r="I141" s="316"/>
      <c r="J141" s="169" t="s">
        <v>429</v>
      </c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2.75" customHeight="1" x14ac:dyDescent="0.2">
      <c r="A142" s="387" t="s">
        <v>342</v>
      </c>
      <c r="B142" s="318"/>
      <c r="C142" s="318"/>
      <c r="D142" s="318"/>
      <c r="E142" s="318"/>
      <c r="F142" s="318"/>
      <c r="G142" s="318"/>
      <c r="H142" s="318"/>
      <c r="I142" s="316"/>
      <c r="J142" s="181">
        <f>SUM(J138:J141)</f>
        <v>0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2.75" customHeight="1" x14ac:dyDescent="0.2">
      <c r="A143" s="368"/>
      <c r="B143" s="318"/>
      <c r="C143" s="318"/>
      <c r="D143" s="318"/>
      <c r="E143" s="318"/>
      <c r="F143" s="318"/>
      <c r="G143" s="318"/>
      <c r="H143" s="318"/>
      <c r="I143" s="318"/>
      <c r="J143" s="316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2.75" customHeight="1" x14ac:dyDescent="0.2">
      <c r="A144" s="385" t="s">
        <v>430</v>
      </c>
      <c r="B144" s="318"/>
      <c r="C144" s="318"/>
      <c r="D144" s="318"/>
      <c r="E144" s="318"/>
      <c r="F144" s="318"/>
      <c r="G144" s="318"/>
      <c r="H144" s="318"/>
      <c r="I144" s="318"/>
      <c r="J144" s="316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2.75" customHeight="1" x14ac:dyDescent="0.2">
      <c r="A145" s="368"/>
      <c r="B145" s="318"/>
      <c r="C145" s="318"/>
      <c r="D145" s="318"/>
      <c r="E145" s="318"/>
      <c r="F145" s="318"/>
      <c r="G145" s="318"/>
      <c r="H145" s="318"/>
      <c r="I145" s="318"/>
      <c r="J145" s="316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2.75" customHeight="1" x14ac:dyDescent="0.2">
      <c r="A146" s="376" t="s">
        <v>431</v>
      </c>
      <c r="B146" s="318"/>
      <c r="C146" s="318"/>
      <c r="D146" s="318"/>
      <c r="E146" s="318"/>
      <c r="F146" s="318"/>
      <c r="G146" s="318"/>
      <c r="H146" s="318"/>
      <c r="I146" s="318"/>
      <c r="J146" s="316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2.75" customHeight="1" x14ac:dyDescent="0.2">
      <c r="A147" s="154">
        <v>6</v>
      </c>
      <c r="B147" s="388" t="s">
        <v>432</v>
      </c>
      <c r="C147" s="318"/>
      <c r="D147" s="318"/>
      <c r="E147" s="318"/>
      <c r="F147" s="318"/>
      <c r="G147" s="318"/>
      <c r="H147" s="316"/>
      <c r="I147" s="142" t="s">
        <v>356</v>
      </c>
      <c r="J147" s="182" t="s">
        <v>433</v>
      </c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2.75" customHeight="1" x14ac:dyDescent="0.2">
      <c r="A148" s="355" t="s">
        <v>434</v>
      </c>
      <c r="B148" s="318"/>
      <c r="C148" s="318"/>
      <c r="D148" s="318"/>
      <c r="E148" s="318"/>
      <c r="F148" s="318"/>
      <c r="G148" s="318"/>
      <c r="H148" s="316"/>
      <c r="I148" s="183" t="s">
        <v>375</v>
      </c>
      <c r="J148" s="141">
        <f>SUM(J41+J93+J103+J134+J142)</f>
        <v>15.02</v>
      </c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2.75" customHeight="1" x14ac:dyDescent="0.2">
      <c r="A149" s="184" t="s">
        <v>278</v>
      </c>
      <c r="B149" s="407" t="s">
        <v>435</v>
      </c>
      <c r="C149" s="318"/>
      <c r="D149" s="318"/>
      <c r="E149" s="318"/>
      <c r="F149" s="318"/>
      <c r="G149" s="318"/>
      <c r="H149" s="316"/>
      <c r="I149" s="185">
        <f>'Aba Carregamento'!C99</f>
        <v>0</v>
      </c>
      <c r="J149" s="156">
        <f>ROUND(J148*I149,2)</f>
        <v>0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2.75" customHeight="1" x14ac:dyDescent="0.2">
      <c r="A150" s="355" t="s">
        <v>436</v>
      </c>
      <c r="B150" s="318"/>
      <c r="C150" s="318"/>
      <c r="D150" s="318"/>
      <c r="E150" s="318"/>
      <c r="F150" s="318"/>
      <c r="G150" s="318"/>
      <c r="H150" s="316"/>
      <c r="I150" s="186" t="s">
        <v>375</v>
      </c>
      <c r="J150" s="141">
        <f>SUM(J41+J93+J103+J134+J142+J149)</f>
        <v>15.02</v>
      </c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2.75" customHeight="1" x14ac:dyDescent="0.2">
      <c r="A151" s="184" t="s">
        <v>280</v>
      </c>
      <c r="B151" s="407" t="s">
        <v>86</v>
      </c>
      <c r="C151" s="318"/>
      <c r="D151" s="318"/>
      <c r="E151" s="318"/>
      <c r="F151" s="318"/>
      <c r="G151" s="318"/>
      <c r="H151" s="316"/>
      <c r="I151" s="185">
        <f>'Aba Carregamento'!C100</f>
        <v>0</v>
      </c>
      <c r="J151" s="156">
        <f>ROUND(J150*I151,2)</f>
        <v>0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2.75" customHeight="1" x14ac:dyDescent="0.2">
      <c r="A152" s="355" t="s">
        <v>437</v>
      </c>
      <c r="B152" s="318"/>
      <c r="C152" s="318"/>
      <c r="D152" s="318"/>
      <c r="E152" s="318"/>
      <c r="F152" s="318"/>
      <c r="G152" s="318"/>
      <c r="H152" s="316"/>
      <c r="I152" s="186" t="s">
        <v>375</v>
      </c>
      <c r="J152" s="141">
        <f>SUM(J41+J93+J103+J134+J142+J149+J151)</f>
        <v>15.02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2.75" customHeight="1" x14ac:dyDescent="0.2">
      <c r="A153" s="184" t="s">
        <v>282</v>
      </c>
      <c r="B153" s="407" t="s">
        <v>438</v>
      </c>
      <c r="C153" s="318"/>
      <c r="D153" s="318"/>
      <c r="E153" s="318"/>
      <c r="F153" s="318"/>
      <c r="G153" s="318"/>
      <c r="H153" s="316"/>
      <c r="I153" s="187" t="s">
        <v>375</v>
      </c>
      <c r="J153" s="163" t="s">
        <v>375</v>
      </c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2.75" customHeight="1" x14ac:dyDescent="0.2">
      <c r="A154" s="149"/>
      <c r="B154" s="379" t="s">
        <v>440</v>
      </c>
      <c r="C154" s="318"/>
      <c r="D154" s="318"/>
      <c r="E154" s="318"/>
      <c r="F154" s="318"/>
      <c r="G154" s="318"/>
      <c r="H154" s="316"/>
      <c r="I154" s="187" t="s">
        <v>375</v>
      </c>
      <c r="J154" s="163" t="s">
        <v>375</v>
      </c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2.75" customHeight="1" x14ac:dyDescent="0.2">
      <c r="A155" s="149"/>
      <c r="B155" s="379" t="s">
        <v>722</v>
      </c>
      <c r="C155" s="318"/>
      <c r="D155" s="318"/>
      <c r="E155" s="318"/>
      <c r="F155" s="318"/>
      <c r="G155" s="318"/>
      <c r="H155" s="316"/>
      <c r="I155" s="191">
        <f>'Aba Carregamento'!C103</f>
        <v>0</v>
      </c>
      <c r="J155" s="156">
        <f t="shared" ref="J155:J156" si="2">ROUND(($J$152/(1-$I$164))*I155,2)</f>
        <v>0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2.75" customHeight="1" x14ac:dyDescent="0.2">
      <c r="A156" s="149"/>
      <c r="B156" s="379" t="s">
        <v>723</v>
      </c>
      <c r="C156" s="318"/>
      <c r="D156" s="318"/>
      <c r="E156" s="318"/>
      <c r="F156" s="318"/>
      <c r="G156" s="318"/>
      <c r="H156" s="316"/>
      <c r="I156" s="191">
        <f>'Aba Carregamento'!C102</f>
        <v>0</v>
      </c>
      <c r="J156" s="156">
        <f t="shared" si="2"/>
        <v>0</v>
      </c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2.75" customHeight="1" x14ac:dyDescent="0.2">
      <c r="A157" s="149"/>
      <c r="B157" s="358" t="s">
        <v>724</v>
      </c>
      <c r="C157" s="318"/>
      <c r="D157" s="318"/>
      <c r="E157" s="318"/>
      <c r="F157" s="318"/>
      <c r="G157" s="318"/>
      <c r="H157" s="316"/>
      <c r="I157" s="193" t="s">
        <v>375</v>
      </c>
      <c r="J157" s="163" t="s">
        <v>375</v>
      </c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2.75" customHeight="1" x14ac:dyDescent="0.2">
      <c r="A158" s="149"/>
      <c r="B158" s="358" t="s">
        <v>725</v>
      </c>
      <c r="C158" s="318"/>
      <c r="D158" s="318"/>
      <c r="E158" s="318"/>
      <c r="F158" s="318"/>
      <c r="G158" s="318"/>
      <c r="H158" s="316"/>
      <c r="I158" s="193" t="s">
        <v>375</v>
      </c>
      <c r="J158" s="163" t="s">
        <v>375</v>
      </c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2.75" customHeight="1" x14ac:dyDescent="0.2">
      <c r="A159" s="149"/>
      <c r="B159" s="379" t="s">
        <v>449</v>
      </c>
      <c r="C159" s="318"/>
      <c r="D159" s="318"/>
      <c r="E159" s="318"/>
      <c r="F159" s="318"/>
      <c r="G159" s="318"/>
      <c r="H159" s="316"/>
      <c r="I159" s="193" t="s">
        <v>375</v>
      </c>
      <c r="J159" s="163" t="s">
        <v>375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2.75" customHeight="1" x14ac:dyDescent="0.2">
      <c r="A160" s="149"/>
      <c r="B160" s="379" t="s">
        <v>450</v>
      </c>
      <c r="C160" s="318"/>
      <c r="D160" s="318"/>
      <c r="E160" s="318"/>
      <c r="F160" s="318"/>
      <c r="G160" s="318"/>
      <c r="H160" s="316"/>
      <c r="I160" s="193" t="s">
        <v>375</v>
      </c>
      <c r="J160" s="163" t="s">
        <v>375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2.75" customHeight="1" x14ac:dyDescent="0.2">
      <c r="A161" s="149"/>
      <c r="B161" s="379" t="s">
        <v>726</v>
      </c>
      <c r="C161" s="318"/>
      <c r="D161" s="318"/>
      <c r="E161" s="318"/>
      <c r="F161" s="318"/>
      <c r="G161" s="318"/>
      <c r="H161" s="316"/>
      <c r="I161" s="195">
        <v>2.5000000000000001E-2</v>
      </c>
      <c r="J161" s="156">
        <f>ROUND(($J$152/(1-$I$164))*I161,2)</f>
        <v>0.39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2.75" customHeight="1" x14ac:dyDescent="0.2">
      <c r="A162" s="387" t="s">
        <v>351</v>
      </c>
      <c r="B162" s="318"/>
      <c r="C162" s="318"/>
      <c r="D162" s="318"/>
      <c r="E162" s="318"/>
      <c r="F162" s="318"/>
      <c r="G162" s="318"/>
      <c r="H162" s="318"/>
      <c r="I162" s="316"/>
      <c r="J162" s="153">
        <f>SUM(J149+J151+J155+J156+J161)</f>
        <v>0.39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2.75" customHeight="1" x14ac:dyDescent="0.2">
      <c r="A163" s="368"/>
      <c r="B163" s="318"/>
      <c r="C163" s="318"/>
      <c r="D163" s="318"/>
      <c r="E163" s="318"/>
      <c r="F163" s="318"/>
      <c r="G163" s="318"/>
      <c r="H163" s="318"/>
      <c r="I163" s="318"/>
      <c r="J163" s="316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2.75" customHeight="1" x14ac:dyDescent="0.2">
      <c r="A164" s="384" t="s">
        <v>452</v>
      </c>
      <c r="B164" s="318"/>
      <c r="C164" s="318"/>
      <c r="D164" s="318"/>
      <c r="E164" s="318"/>
      <c r="F164" s="318"/>
      <c r="G164" s="318"/>
      <c r="H164" s="316"/>
      <c r="I164" s="196">
        <f t="shared" ref="I164:J164" si="3">SUM(I155:I161)</f>
        <v>2.5000000000000001E-2</v>
      </c>
      <c r="J164" s="141">
        <f t="shared" si="3"/>
        <v>0.39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2.75" customHeight="1" x14ac:dyDescent="0.2">
      <c r="A165" s="408" t="s">
        <v>453</v>
      </c>
      <c r="B165" s="409"/>
      <c r="C165" s="410"/>
      <c r="D165" s="416" t="s">
        <v>454</v>
      </c>
      <c r="E165" s="318"/>
      <c r="F165" s="318"/>
      <c r="G165" s="318"/>
      <c r="H165" s="318"/>
      <c r="I165" s="318"/>
      <c r="J165" s="316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2.75" customHeight="1" x14ac:dyDescent="0.2">
      <c r="A166" s="411"/>
      <c r="B166" s="311"/>
      <c r="C166" s="412"/>
      <c r="D166" s="416" t="s">
        <v>455</v>
      </c>
      <c r="E166" s="318"/>
      <c r="F166" s="318"/>
      <c r="G166" s="318"/>
      <c r="H166" s="318"/>
      <c r="I166" s="318"/>
      <c r="J166" s="316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2.75" customHeight="1" x14ac:dyDescent="0.2">
      <c r="A167" s="413"/>
      <c r="B167" s="414"/>
      <c r="C167" s="415"/>
      <c r="D167" s="416" t="s">
        <v>456</v>
      </c>
      <c r="E167" s="318"/>
      <c r="F167" s="318"/>
      <c r="G167" s="318"/>
      <c r="H167" s="318"/>
      <c r="I167" s="318"/>
      <c r="J167" s="316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2.75" customHeight="1" x14ac:dyDescent="0.2">
      <c r="A168" s="368"/>
      <c r="B168" s="318"/>
      <c r="C168" s="318"/>
      <c r="D168" s="318"/>
      <c r="E168" s="318"/>
      <c r="F168" s="318"/>
      <c r="G168" s="318"/>
      <c r="H168" s="318"/>
      <c r="I168" s="318"/>
      <c r="J168" s="316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2.75" customHeight="1" x14ac:dyDescent="0.2">
      <c r="A169" s="353" t="s">
        <v>457</v>
      </c>
      <c r="B169" s="318"/>
      <c r="C169" s="318"/>
      <c r="D169" s="318"/>
      <c r="E169" s="318"/>
      <c r="F169" s="318"/>
      <c r="G169" s="318"/>
      <c r="H169" s="318"/>
      <c r="I169" s="318"/>
      <c r="J169" s="316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2.75" customHeight="1" x14ac:dyDescent="0.2">
      <c r="A170" s="368"/>
      <c r="B170" s="318"/>
      <c r="C170" s="318"/>
      <c r="D170" s="318"/>
      <c r="E170" s="318"/>
      <c r="F170" s="318"/>
      <c r="G170" s="318"/>
      <c r="H170" s="318"/>
      <c r="I170" s="318"/>
      <c r="J170" s="316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2.75" customHeight="1" x14ac:dyDescent="0.2">
      <c r="A171" s="417" t="s">
        <v>458</v>
      </c>
      <c r="B171" s="318"/>
      <c r="C171" s="318"/>
      <c r="D171" s="318"/>
      <c r="E171" s="318"/>
      <c r="F171" s="318"/>
      <c r="G171" s="318"/>
      <c r="H171" s="318"/>
      <c r="I171" s="318"/>
      <c r="J171" s="316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2.75" customHeight="1" x14ac:dyDescent="0.2">
      <c r="A172" s="418" t="s">
        <v>459</v>
      </c>
      <c r="B172" s="318"/>
      <c r="C172" s="318"/>
      <c r="D172" s="318"/>
      <c r="E172" s="318"/>
      <c r="F172" s="318"/>
      <c r="G172" s="318"/>
      <c r="H172" s="318"/>
      <c r="I172" s="316"/>
      <c r="J172" s="197" t="s">
        <v>348</v>
      </c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2.75" customHeight="1" x14ac:dyDescent="0.2">
      <c r="A173" s="198" t="s">
        <v>278</v>
      </c>
      <c r="B173" s="419" t="s">
        <v>460</v>
      </c>
      <c r="C173" s="318"/>
      <c r="D173" s="318"/>
      <c r="E173" s="318"/>
      <c r="F173" s="318"/>
      <c r="G173" s="318"/>
      <c r="H173" s="318"/>
      <c r="I173" s="316"/>
      <c r="J173" s="169">
        <f>J41</f>
        <v>0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2.75" customHeight="1" x14ac:dyDescent="0.2">
      <c r="A174" s="198" t="s">
        <v>280</v>
      </c>
      <c r="B174" s="419" t="s">
        <v>344</v>
      </c>
      <c r="C174" s="318"/>
      <c r="D174" s="318"/>
      <c r="E174" s="318"/>
      <c r="F174" s="318"/>
      <c r="G174" s="318"/>
      <c r="H174" s="318"/>
      <c r="I174" s="316"/>
      <c r="J174" s="169">
        <f>J93</f>
        <v>15.02</v>
      </c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2.75" customHeight="1" x14ac:dyDescent="0.2">
      <c r="A175" s="198" t="s">
        <v>282</v>
      </c>
      <c r="B175" s="419" t="s">
        <v>461</v>
      </c>
      <c r="C175" s="318"/>
      <c r="D175" s="318"/>
      <c r="E175" s="318"/>
      <c r="F175" s="318"/>
      <c r="G175" s="318"/>
      <c r="H175" s="318"/>
      <c r="I175" s="316"/>
      <c r="J175" s="169">
        <f>J103</f>
        <v>0</v>
      </c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2.75" customHeight="1" x14ac:dyDescent="0.2">
      <c r="A176" s="198" t="s">
        <v>284</v>
      </c>
      <c r="B176" s="419" t="s">
        <v>462</v>
      </c>
      <c r="C176" s="318"/>
      <c r="D176" s="318"/>
      <c r="E176" s="318"/>
      <c r="F176" s="318"/>
      <c r="G176" s="318"/>
      <c r="H176" s="318"/>
      <c r="I176" s="316"/>
      <c r="J176" s="169">
        <f>J134</f>
        <v>0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2.75" customHeight="1" x14ac:dyDescent="0.2">
      <c r="A177" s="198" t="s">
        <v>336</v>
      </c>
      <c r="B177" s="419" t="s">
        <v>463</v>
      </c>
      <c r="C177" s="318"/>
      <c r="D177" s="318"/>
      <c r="E177" s="318"/>
      <c r="F177" s="318"/>
      <c r="G177" s="318"/>
      <c r="H177" s="318"/>
      <c r="I177" s="316"/>
      <c r="J177" s="170">
        <f>J142</f>
        <v>0</v>
      </c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2.75" customHeight="1" x14ac:dyDescent="0.2">
      <c r="A178" s="422" t="s">
        <v>464</v>
      </c>
      <c r="B178" s="318"/>
      <c r="C178" s="318"/>
      <c r="D178" s="318"/>
      <c r="E178" s="318"/>
      <c r="F178" s="318"/>
      <c r="G178" s="318"/>
      <c r="H178" s="318"/>
      <c r="I178" s="316"/>
      <c r="J178" s="181">
        <f>SUM(J173:J177)</f>
        <v>15.02</v>
      </c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2.75" customHeight="1" x14ac:dyDescent="0.2">
      <c r="A179" s="198" t="s">
        <v>338</v>
      </c>
      <c r="B179" s="419" t="s">
        <v>465</v>
      </c>
      <c r="C179" s="318"/>
      <c r="D179" s="318"/>
      <c r="E179" s="318"/>
      <c r="F179" s="318"/>
      <c r="G179" s="318"/>
      <c r="H179" s="318"/>
      <c r="I179" s="316"/>
      <c r="J179" s="169">
        <f>J162</f>
        <v>0.39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 customHeight="1" x14ac:dyDescent="0.2">
      <c r="A180" s="422" t="s">
        <v>466</v>
      </c>
      <c r="B180" s="318"/>
      <c r="C180" s="318"/>
      <c r="D180" s="318"/>
      <c r="E180" s="318"/>
      <c r="F180" s="318"/>
      <c r="G180" s="318"/>
      <c r="H180" s="318"/>
      <c r="I180" s="316"/>
      <c r="J180" s="181">
        <f>ROUND(SUM(J178:J179),2)</f>
        <v>15.41</v>
      </c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 x14ac:dyDescent="0.2">
      <c r="A181" s="426" t="s">
        <v>467</v>
      </c>
      <c r="B181" s="318"/>
      <c r="C181" s="318"/>
      <c r="D181" s="318"/>
      <c r="E181" s="318"/>
      <c r="F181" s="318"/>
      <c r="G181" s="318"/>
      <c r="H181" s="318"/>
      <c r="I181" s="318"/>
      <c r="J181" s="316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 x14ac:dyDescent="0.2">
      <c r="A182" s="358" t="s">
        <v>468</v>
      </c>
      <c r="B182" s="318"/>
      <c r="C182" s="318"/>
      <c r="D182" s="318"/>
      <c r="E182" s="318"/>
      <c r="F182" s="318"/>
      <c r="G182" s="318"/>
      <c r="H182" s="318"/>
      <c r="I182" s="318"/>
      <c r="J182" s="316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46.5" customHeight="1" x14ac:dyDescent="0.2">
      <c r="A183" s="427" t="s">
        <v>470</v>
      </c>
      <c r="B183" s="318"/>
      <c r="C183" s="316"/>
      <c r="D183" s="461" t="s">
        <v>471</v>
      </c>
      <c r="E183" s="318"/>
      <c r="F183" s="316"/>
      <c r="G183" s="365" t="s">
        <v>472</v>
      </c>
      <c r="H183" s="316"/>
      <c r="I183" s="383" t="s">
        <v>473</v>
      </c>
      <c r="J183" s="316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2.75" customHeight="1" x14ac:dyDescent="0.2">
      <c r="A184" s="353" t="s">
        <v>688</v>
      </c>
      <c r="B184" s="318"/>
      <c r="C184" s="316"/>
      <c r="D184" s="199">
        <v>1</v>
      </c>
      <c r="E184" s="183">
        <v>30</v>
      </c>
      <c r="F184" s="200">
        <f>E185</f>
        <v>300</v>
      </c>
      <c r="G184" s="432">
        <v>0</v>
      </c>
      <c r="H184" s="316"/>
      <c r="I184" s="425">
        <f>G184/F184/E184</f>
        <v>0</v>
      </c>
      <c r="J184" s="316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 customHeight="1" x14ac:dyDescent="0.2">
      <c r="A185" s="353" t="s">
        <v>689</v>
      </c>
      <c r="B185" s="318"/>
      <c r="C185" s="316"/>
      <c r="D185" s="199">
        <v>1</v>
      </c>
      <c r="E185" s="462">
        <v>300</v>
      </c>
      <c r="F185" s="316"/>
      <c r="G185" s="463">
        <v>0</v>
      </c>
      <c r="H185" s="316"/>
      <c r="I185" s="425">
        <v>0</v>
      </c>
      <c r="J185" s="316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 customHeight="1" x14ac:dyDescent="0.2">
      <c r="A186" s="429" t="s">
        <v>476</v>
      </c>
      <c r="B186" s="318"/>
      <c r="C186" s="318"/>
      <c r="D186" s="318"/>
      <c r="E186" s="318"/>
      <c r="F186" s="318"/>
      <c r="G186" s="318"/>
      <c r="H186" s="316"/>
      <c r="I186" s="425">
        <f>SUM(I184+I185)</f>
        <v>0</v>
      </c>
      <c r="J186" s="316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 x14ac:dyDescent="0.2">
      <c r="A187" s="430"/>
      <c r="B187" s="318"/>
      <c r="C187" s="318"/>
      <c r="D187" s="318"/>
      <c r="E187" s="318"/>
      <c r="F187" s="318"/>
      <c r="G187" s="318"/>
      <c r="H187" s="318"/>
      <c r="I187" s="318"/>
      <c r="J187" s="316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2.75" customHeight="1" x14ac:dyDescent="0.2">
      <c r="A188" s="398"/>
      <c r="B188" s="318"/>
      <c r="C188" s="318"/>
      <c r="D188" s="318"/>
      <c r="E188" s="318"/>
      <c r="F188" s="318"/>
      <c r="G188" s="318"/>
      <c r="H188" s="318"/>
      <c r="I188" s="318"/>
      <c r="J188" s="316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 x14ac:dyDescent="0.2">
      <c r="A189" s="385"/>
      <c r="B189" s="318"/>
      <c r="C189" s="318"/>
      <c r="D189" s="318"/>
      <c r="E189" s="318"/>
      <c r="F189" s="318"/>
      <c r="G189" s="318"/>
      <c r="H189" s="318"/>
      <c r="I189" s="318"/>
      <c r="J189" s="316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2.75" customHeight="1" x14ac:dyDescent="0.2">
      <c r="A190" s="407" t="s">
        <v>540</v>
      </c>
      <c r="B190" s="318"/>
      <c r="C190" s="318"/>
      <c r="D190" s="318"/>
      <c r="E190" s="318"/>
      <c r="F190" s="318"/>
      <c r="G190" s="318"/>
      <c r="H190" s="318"/>
      <c r="I190" s="318"/>
      <c r="J190" s="316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 x14ac:dyDescent="0.2">
      <c r="A191" s="383" t="s">
        <v>21</v>
      </c>
      <c r="B191" s="318"/>
      <c r="C191" s="318"/>
      <c r="D191" s="318"/>
      <c r="E191" s="316"/>
      <c r="F191" s="365" t="s">
        <v>541</v>
      </c>
      <c r="G191" s="316"/>
      <c r="H191" s="197" t="s">
        <v>542</v>
      </c>
      <c r="I191" s="365" t="s">
        <v>543</v>
      </c>
      <c r="J191" s="316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 customHeight="1" x14ac:dyDescent="0.2">
      <c r="A192" s="402" t="s">
        <v>691</v>
      </c>
      <c r="B192" s="318"/>
      <c r="C192" s="318"/>
      <c r="D192" s="318"/>
      <c r="E192" s="316"/>
      <c r="F192" s="400">
        <f>I186</f>
        <v>0</v>
      </c>
      <c r="G192" s="316"/>
      <c r="H192" s="229">
        <f>I14</f>
        <v>0</v>
      </c>
      <c r="I192" s="395">
        <f>ROUND(F192*H192,2)</f>
        <v>0</v>
      </c>
      <c r="J192" s="316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 x14ac:dyDescent="0.2">
      <c r="A193" s="397" t="s">
        <v>692</v>
      </c>
      <c r="B193" s="318"/>
      <c r="C193" s="318"/>
      <c r="D193" s="318"/>
      <c r="E193" s="318"/>
      <c r="F193" s="318"/>
      <c r="G193" s="316"/>
      <c r="H193" s="231">
        <f>H192</f>
        <v>0</v>
      </c>
      <c r="I193" s="367">
        <f>SUM(I192)</f>
        <v>0</v>
      </c>
      <c r="J193" s="316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 x14ac:dyDescent="0.2">
      <c r="A194" s="398"/>
      <c r="B194" s="318"/>
      <c r="C194" s="318"/>
      <c r="D194" s="318"/>
      <c r="E194" s="318"/>
      <c r="F194" s="318"/>
      <c r="G194" s="318"/>
      <c r="H194" s="318"/>
      <c r="I194" s="318"/>
      <c r="J194" s="316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 x14ac:dyDescent="0.2">
      <c r="A195" s="394" t="s">
        <v>314</v>
      </c>
      <c r="B195" s="318"/>
      <c r="C195" s="318"/>
      <c r="D195" s="318"/>
      <c r="E195" s="318"/>
      <c r="F195" s="318"/>
      <c r="G195" s="316"/>
      <c r="H195" s="229">
        <f>J16</f>
        <v>0</v>
      </c>
      <c r="I195" s="395">
        <f>J195</f>
        <v>0</v>
      </c>
      <c r="J195" s="316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2.75" customHeight="1" x14ac:dyDescent="0.2">
      <c r="A196" s="446" t="s">
        <v>315</v>
      </c>
      <c r="B196" s="318"/>
      <c r="C196" s="318"/>
      <c r="D196" s="318"/>
      <c r="E196" s="318"/>
      <c r="F196" s="318"/>
      <c r="G196" s="316"/>
      <c r="H196" s="233">
        <f t="shared" ref="H196:I196" si="4">H195</f>
        <v>0</v>
      </c>
      <c r="I196" s="401">
        <f t="shared" si="4"/>
        <v>0</v>
      </c>
      <c r="J196" s="316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2.75" customHeight="1" x14ac:dyDescent="0.2">
      <c r="A197" s="398"/>
      <c r="B197" s="318"/>
      <c r="C197" s="318"/>
      <c r="D197" s="318"/>
      <c r="E197" s="318"/>
      <c r="F197" s="318"/>
      <c r="G197" s="318"/>
      <c r="H197" s="318"/>
      <c r="I197" s="318"/>
      <c r="J197" s="316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2.75" customHeight="1" x14ac:dyDescent="0.2">
      <c r="A198" s="403" t="s">
        <v>476</v>
      </c>
      <c r="B198" s="318"/>
      <c r="C198" s="318"/>
      <c r="D198" s="318"/>
      <c r="E198" s="318"/>
      <c r="F198" s="318"/>
      <c r="G198" s="316"/>
      <c r="H198" s="233">
        <f>ROUND(H193+H196,2)</f>
        <v>0</v>
      </c>
      <c r="I198" s="401">
        <f>SUM(I193+I196)</f>
        <v>0</v>
      </c>
      <c r="J198" s="316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2.75" customHeight="1" x14ac:dyDescent="0.2">
      <c r="A199" s="398"/>
      <c r="B199" s="318"/>
      <c r="C199" s="318"/>
      <c r="D199" s="318"/>
      <c r="E199" s="318"/>
      <c r="F199" s="318"/>
      <c r="G199" s="318"/>
      <c r="H199" s="318"/>
      <c r="I199" s="318"/>
      <c r="J199" s="316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2.75" customHeight="1" x14ac:dyDescent="0.2">
      <c r="A200" s="404" t="s">
        <v>557</v>
      </c>
      <c r="B200" s="318"/>
      <c r="C200" s="318"/>
      <c r="D200" s="318"/>
      <c r="E200" s="318"/>
      <c r="F200" s="318"/>
      <c r="G200" s="318"/>
      <c r="H200" s="316"/>
      <c r="I200" s="405">
        <f>J180</f>
        <v>15.41</v>
      </c>
      <c r="J200" s="316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2.75" customHeight="1" x14ac:dyDescent="0.2">
      <c r="A201" s="398"/>
      <c r="B201" s="318"/>
      <c r="C201" s="318"/>
      <c r="D201" s="318"/>
      <c r="E201" s="318"/>
      <c r="F201" s="318"/>
      <c r="G201" s="318"/>
      <c r="H201" s="318"/>
      <c r="I201" s="318"/>
      <c r="J201" s="316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2.75" customHeight="1" x14ac:dyDescent="0.2">
      <c r="A202" s="404" t="s">
        <v>558</v>
      </c>
      <c r="B202" s="318"/>
      <c r="C202" s="318"/>
      <c r="D202" s="318"/>
      <c r="E202" s="318"/>
      <c r="F202" s="318"/>
      <c r="G202" s="318"/>
      <c r="H202" s="316"/>
      <c r="I202" s="405">
        <f>H11</f>
        <v>20</v>
      </c>
      <c r="J202" s="316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2.75" customHeight="1" x14ac:dyDescent="0.2">
      <c r="A203" s="398"/>
      <c r="B203" s="318"/>
      <c r="C203" s="318"/>
      <c r="D203" s="318"/>
      <c r="E203" s="318"/>
      <c r="F203" s="318"/>
      <c r="G203" s="318"/>
      <c r="H203" s="318"/>
      <c r="I203" s="318"/>
      <c r="J203" s="316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2.75" customHeight="1" x14ac:dyDescent="0.2">
      <c r="A204" s="404" t="s">
        <v>727</v>
      </c>
      <c r="B204" s="318"/>
      <c r="C204" s="318"/>
      <c r="D204" s="318"/>
      <c r="E204" s="318"/>
      <c r="F204" s="318"/>
      <c r="G204" s="318"/>
      <c r="H204" s="316"/>
      <c r="I204" s="405">
        <f>ROUND(I200*I202,2)</f>
        <v>308.2</v>
      </c>
      <c r="J204" s="316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2.75" customHeight="1" x14ac:dyDescent="0.2">
      <c r="A205" s="398"/>
      <c r="B205" s="318"/>
      <c r="C205" s="318"/>
      <c r="D205" s="318"/>
      <c r="E205" s="318"/>
      <c r="F205" s="318"/>
      <c r="G205" s="318"/>
      <c r="H205" s="318"/>
      <c r="I205" s="318"/>
      <c r="J205" s="316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2.75" customHeight="1" x14ac:dyDescent="0.2">
      <c r="A206" s="358" t="s">
        <v>560</v>
      </c>
      <c r="B206" s="318"/>
      <c r="C206" s="318"/>
      <c r="D206" s="318"/>
      <c r="E206" s="318"/>
      <c r="F206" s="318"/>
      <c r="G206" s="318"/>
      <c r="H206" s="318"/>
      <c r="I206" s="318"/>
      <c r="J206" s="316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2.75" customHeight="1" x14ac:dyDescent="0.2">
      <c r="A207" s="383" t="s">
        <v>561</v>
      </c>
      <c r="B207" s="318"/>
      <c r="C207" s="318"/>
      <c r="D207" s="318"/>
      <c r="E207" s="318"/>
      <c r="F207" s="316"/>
      <c r="G207" s="383" t="s">
        <v>562</v>
      </c>
      <c r="H207" s="318"/>
      <c r="I207" s="318"/>
      <c r="J207" s="316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2.75" customHeight="1" x14ac:dyDescent="0.2">
      <c r="A208" s="382" t="s">
        <v>564</v>
      </c>
      <c r="B208" s="318"/>
      <c r="C208" s="318"/>
      <c r="D208" s="318"/>
      <c r="E208" s="318"/>
      <c r="F208" s="316"/>
      <c r="G208" s="369">
        <v>1</v>
      </c>
      <c r="H208" s="318"/>
      <c r="I208" s="318"/>
      <c r="J208" s="316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2.75" customHeight="1" x14ac:dyDescent="0.2">
      <c r="A209" s="398"/>
      <c r="B209" s="318"/>
      <c r="C209" s="318"/>
      <c r="D209" s="318"/>
      <c r="E209" s="318"/>
      <c r="F209" s="318"/>
      <c r="G209" s="318"/>
      <c r="H209" s="318"/>
      <c r="I209" s="318"/>
      <c r="J209" s="316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32.25" customHeight="1" x14ac:dyDescent="0.2">
      <c r="A210" s="358" t="s">
        <v>696</v>
      </c>
      <c r="B210" s="318"/>
      <c r="C210" s="318"/>
      <c r="D210" s="318"/>
      <c r="E210" s="318"/>
      <c r="F210" s="318"/>
      <c r="G210" s="318"/>
      <c r="H210" s="318"/>
      <c r="I210" s="318"/>
      <c r="J210" s="316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2.75" customHeight="1" x14ac:dyDescent="0.2">
      <c r="A211" s="365" t="s">
        <v>566</v>
      </c>
      <c r="B211" s="318"/>
      <c r="C211" s="318"/>
      <c r="D211" s="318"/>
      <c r="E211" s="318"/>
      <c r="F211" s="318"/>
      <c r="G211" s="318"/>
      <c r="H211" s="318"/>
      <c r="I211" s="316"/>
      <c r="J211" s="197" t="s">
        <v>567</v>
      </c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2.75" customHeight="1" x14ac:dyDescent="0.2">
      <c r="A212" s="406" t="s">
        <v>568</v>
      </c>
      <c r="B212" s="318"/>
      <c r="C212" s="318"/>
      <c r="D212" s="318"/>
      <c r="E212" s="318"/>
      <c r="F212" s="318"/>
      <c r="G212" s="318"/>
      <c r="H212" s="318"/>
      <c r="I212" s="316"/>
      <c r="J212" s="138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2.75" customHeight="1" x14ac:dyDescent="0.2">
      <c r="A213" s="402"/>
      <c r="B213" s="318"/>
      <c r="C213" s="318"/>
      <c r="D213" s="318"/>
      <c r="E213" s="318"/>
      <c r="F213" s="318"/>
      <c r="G213" s="318"/>
      <c r="H213" s="318"/>
      <c r="I213" s="316"/>
      <c r="J213" s="138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2.75" customHeight="1" x14ac:dyDescent="0.2">
      <c r="A214" s="394"/>
      <c r="B214" s="318"/>
      <c r="C214" s="318"/>
      <c r="D214" s="318"/>
      <c r="E214" s="318"/>
      <c r="F214" s="318"/>
      <c r="G214" s="318"/>
      <c r="H214" s="318"/>
      <c r="I214" s="316"/>
      <c r="J214" s="138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2.7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2.75" customHeight="1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2.75" customHeight="1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2.75" customHeight="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2.7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2.75" customHeight="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2.75" customHeight="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2.75" customHeight="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2.75" customHeight="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2.75" customHeight="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2.75" customHeight="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2.75" customHeight="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2.75" customHeight="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2.75" customHeight="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2.75" customHeight="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2.75" customHeight="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2.75" customHeight="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2.75" customHeight="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2.75" customHeight="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2.75" customHeight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2.75" customHeight="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2.75" customHeight="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2.75" customHeight="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2.75" customHeight="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2.75" customHeight="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2.7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2.75" customHeight="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2.75" customHeight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2.75" customHeight="1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2.75" customHeight="1" x14ac:dyDescent="0.2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2.7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2.75" customHeight="1" x14ac:dyDescent="0.2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2.7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2.75" customHeight="1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2.75" customHeight="1" x14ac:dyDescent="0.2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2.75" customHeight="1" x14ac:dyDescent="0.2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2.75" customHeight="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2.7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2.75" customHeight="1" x14ac:dyDescent="0.2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2.75" customHeight="1" x14ac:dyDescent="0.2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2.75" customHeight="1" x14ac:dyDescent="0.2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2.75" customHeight="1" x14ac:dyDescent="0.2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2.7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2.75" customHeight="1" x14ac:dyDescent="0.2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2.7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2.75" customHeight="1" x14ac:dyDescent="0.2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2.75" customHeight="1" x14ac:dyDescent="0.2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2.7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2.75" customHeight="1" x14ac:dyDescent="0.2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2.75" customHeight="1" x14ac:dyDescent="0.2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2.75" customHeight="1" x14ac:dyDescent="0.2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2.75" customHeight="1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2.75" customHeight="1" x14ac:dyDescent="0.2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2.75" customHeight="1" x14ac:dyDescent="0.2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2.75" customHeight="1" x14ac:dyDescent="0.2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2.75" customHeight="1" x14ac:dyDescent="0.2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2.75" customHeight="1" x14ac:dyDescent="0.2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2.75" customHeight="1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2.75" customHeight="1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2.75" customHeight="1" x14ac:dyDescent="0.2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2.75" customHeight="1" x14ac:dyDescent="0.2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2.75" customHeight="1" x14ac:dyDescent="0.2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2.75" customHeight="1" x14ac:dyDescent="0.2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2.75" customHeight="1" x14ac:dyDescent="0.2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2.75" customHeight="1" x14ac:dyDescent="0.2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2.75" customHeight="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2.75" customHeight="1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2.75" customHeight="1" x14ac:dyDescent="0.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2.75" customHeight="1" x14ac:dyDescent="0.2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2.75" customHeight="1" x14ac:dyDescent="0.2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2.75" customHeight="1" x14ac:dyDescent="0.2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2.75" customHeight="1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2.75" customHeight="1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2.75" customHeight="1" x14ac:dyDescent="0.2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2.75" customHeight="1" x14ac:dyDescent="0.2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2.75" customHeight="1" x14ac:dyDescent="0.2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2.75" customHeight="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2.75" customHeight="1" x14ac:dyDescent="0.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2.75" customHeight="1" x14ac:dyDescent="0.2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2.75" customHeight="1" x14ac:dyDescent="0.2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2.75" customHeight="1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2.7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2.75" customHeight="1" x14ac:dyDescent="0.2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2.75" customHeight="1" x14ac:dyDescent="0.2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2.75" customHeight="1" x14ac:dyDescent="0.2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2.75" customHeight="1" x14ac:dyDescent="0.2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2.7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2.75" customHeight="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2.75" customHeight="1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2.75" customHeight="1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2.75" customHeight="1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2.75" customHeight="1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2.75" customHeight="1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2.75" customHeight="1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2.75" customHeight="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2.75" customHeight="1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2.75" customHeight="1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2.75" customHeight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2.75" customHeight="1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2.75" customHeight="1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2.75" customHeight="1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2.75" customHeight="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2.75" customHeight="1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2.75" customHeight="1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2.75" customHeight="1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2.75" customHeight="1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2.75" customHeight="1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2.75" customHeight="1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2.75" customHeight="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2.75" customHeight="1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2.75" customHeight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2.75" customHeight="1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2.75" customHeight="1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2.75" customHeight="1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2.75" customHeight="1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2.75" customHeight="1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2.75" customHeight="1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2.75" customHeight="1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2.75" customHeight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2.75" customHeight="1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2.75" customHeight="1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2.75" customHeight="1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2.75" customHeight="1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2.75" customHeight="1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2.75" customHeight="1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2.75" customHeight="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2.75" customHeight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2.75" customHeight="1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2.75" customHeight="1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2.75" customHeight="1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2.75" customHeight="1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2.75" customHeight="1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2.75" customHeight="1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2.75" customHeight="1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2.75" customHeight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2.75" customHeight="1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2.75" customHeight="1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2.75" customHeight="1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2.75" customHeight="1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2.75" customHeight="1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2.75" customHeight="1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2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2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2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2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2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2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2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2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2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2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2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2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2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2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2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2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2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2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2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2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2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2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2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2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2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2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2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2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2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2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2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2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2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2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2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2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2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2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2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2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2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2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2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2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2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2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2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2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2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2.75" customHeight="1" x14ac:dyDescent="0.2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256">
    <mergeCell ref="A118:I118"/>
    <mergeCell ref="A119:J119"/>
    <mergeCell ref="A120:J120"/>
    <mergeCell ref="A121:J121"/>
    <mergeCell ref="D183:F183"/>
    <mergeCell ref="G183:H183"/>
    <mergeCell ref="B177:I177"/>
    <mergeCell ref="A178:I178"/>
    <mergeCell ref="B179:I179"/>
    <mergeCell ref="A180:I180"/>
    <mergeCell ref="A181:J181"/>
    <mergeCell ref="A182:J182"/>
    <mergeCell ref="I183:J183"/>
    <mergeCell ref="A183:C183"/>
    <mergeCell ref="B81:I81"/>
    <mergeCell ref="B82:I82"/>
    <mergeCell ref="B83:I83"/>
    <mergeCell ref="A84:I84"/>
    <mergeCell ref="A85:J85"/>
    <mergeCell ref="A86:J86"/>
    <mergeCell ref="B115:I115"/>
    <mergeCell ref="A116:I116"/>
    <mergeCell ref="B117:I117"/>
    <mergeCell ref="B112:I112"/>
    <mergeCell ref="B113:I113"/>
    <mergeCell ref="B114:I114"/>
    <mergeCell ref="A45:J45"/>
    <mergeCell ref="A46:J46"/>
    <mergeCell ref="B47:I47"/>
    <mergeCell ref="B48:I48"/>
    <mergeCell ref="B49:I49"/>
    <mergeCell ref="A50:I50"/>
    <mergeCell ref="B51:I51"/>
    <mergeCell ref="A52:I52"/>
    <mergeCell ref="A53:J53"/>
    <mergeCell ref="A54:J54"/>
    <mergeCell ref="A55:J55"/>
    <mergeCell ref="A56:J56"/>
    <mergeCell ref="B57:H57"/>
    <mergeCell ref="B58:H58"/>
    <mergeCell ref="B59:H59"/>
    <mergeCell ref="B60:D60"/>
    <mergeCell ref="B61:H61"/>
    <mergeCell ref="B62:H62"/>
    <mergeCell ref="B63:H63"/>
    <mergeCell ref="B64:H64"/>
    <mergeCell ref="B65:H65"/>
    <mergeCell ref="A103:I103"/>
    <mergeCell ref="A104:J104"/>
    <mergeCell ref="A105:J105"/>
    <mergeCell ref="A106:J106"/>
    <mergeCell ref="A107:I107"/>
    <mergeCell ref="A108:J108"/>
    <mergeCell ref="B109:I109"/>
    <mergeCell ref="B110:I110"/>
    <mergeCell ref="B111:I111"/>
    <mergeCell ref="A94:J94"/>
    <mergeCell ref="A95:J95"/>
    <mergeCell ref="B96:I96"/>
    <mergeCell ref="B97:I97"/>
    <mergeCell ref="B98:I98"/>
    <mergeCell ref="B99:I99"/>
    <mergeCell ref="B100:I100"/>
    <mergeCell ref="B101:I101"/>
    <mergeCell ref="B102:I102"/>
    <mergeCell ref="A43:J43"/>
    <mergeCell ref="A44:J44"/>
    <mergeCell ref="A87:J87"/>
    <mergeCell ref="A88:J88"/>
    <mergeCell ref="B89:I89"/>
    <mergeCell ref="B90:I90"/>
    <mergeCell ref="B91:I91"/>
    <mergeCell ref="B92:I92"/>
    <mergeCell ref="A93:I93"/>
    <mergeCell ref="A66:H66"/>
    <mergeCell ref="A67:J67"/>
    <mergeCell ref="A68:J68"/>
    <mergeCell ref="A69:J69"/>
    <mergeCell ref="A70:J70"/>
    <mergeCell ref="B71:I71"/>
    <mergeCell ref="B72:I72"/>
    <mergeCell ref="B73:H73"/>
    <mergeCell ref="B74:H74"/>
    <mergeCell ref="B75:H75"/>
    <mergeCell ref="B76:I76"/>
    <mergeCell ref="B77:H77"/>
    <mergeCell ref="B78:H78"/>
    <mergeCell ref="B79:H79"/>
    <mergeCell ref="B80:I80"/>
    <mergeCell ref="B26:G26"/>
    <mergeCell ref="H26:J26"/>
    <mergeCell ref="B27:G27"/>
    <mergeCell ref="H27:J27"/>
    <mergeCell ref="B38:H38"/>
    <mergeCell ref="B39:I39"/>
    <mergeCell ref="B40:I40"/>
    <mergeCell ref="A41:I41"/>
    <mergeCell ref="A42:J42"/>
    <mergeCell ref="A17:I17"/>
    <mergeCell ref="A18:J18"/>
    <mergeCell ref="A19:I19"/>
    <mergeCell ref="A20:J20"/>
    <mergeCell ref="A21:J21"/>
    <mergeCell ref="A22:J22"/>
    <mergeCell ref="A23:J23"/>
    <mergeCell ref="A24:J24"/>
    <mergeCell ref="A25:J25"/>
    <mergeCell ref="G13:H13"/>
    <mergeCell ref="I13:J13"/>
    <mergeCell ref="A13:F13"/>
    <mergeCell ref="A14:F14"/>
    <mergeCell ref="G14:H14"/>
    <mergeCell ref="I14:J14"/>
    <mergeCell ref="A15:H15"/>
    <mergeCell ref="I15:J15"/>
    <mergeCell ref="H16:I16"/>
    <mergeCell ref="A16:G16"/>
    <mergeCell ref="A34:J34"/>
    <mergeCell ref="B35:G35"/>
    <mergeCell ref="H35:I35"/>
    <mergeCell ref="B36:I36"/>
    <mergeCell ref="B37:I37"/>
    <mergeCell ref="A1:J1"/>
    <mergeCell ref="A2:J2"/>
    <mergeCell ref="A3:D3"/>
    <mergeCell ref="E3:J3"/>
    <mergeCell ref="A4:G4"/>
    <mergeCell ref="H4:J4"/>
    <mergeCell ref="H5:J5"/>
    <mergeCell ref="A5:G5"/>
    <mergeCell ref="A6:J6"/>
    <mergeCell ref="A7:J7"/>
    <mergeCell ref="B8:G8"/>
    <mergeCell ref="H8:J8"/>
    <mergeCell ref="B9:G9"/>
    <mergeCell ref="H9:J9"/>
    <mergeCell ref="B10:G10"/>
    <mergeCell ref="H10:J10"/>
    <mergeCell ref="B11:G11"/>
    <mergeCell ref="H11:J11"/>
    <mergeCell ref="A12:J12"/>
    <mergeCell ref="B28:G28"/>
    <mergeCell ref="H28:J28"/>
    <mergeCell ref="B29:G29"/>
    <mergeCell ref="H29:J29"/>
    <mergeCell ref="B30:G30"/>
    <mergeCell ref="H30:J30"/>
    <mergeCell ref="A31:J31"/>
    <mergeCell ref="A32:J32"/>
    <mergeCell ref="A33:J33"/>
    <mergeCell ref="B161:H161"/>
    <mergeCell ref="A162:I162"/>
    <mergeCell ref="A163:J163"/>
    <mergeCell ref="A213:I213"/>
    <mergeCell ref="A214:I214"/>
    <mergeCell ref="A207:F207"/>
    <mergeCell ref="A208:F208"/>
    <mergeCell ref="G208:J208"/>
    <mergeCell ref="A209:J209"/>
    <mergeCell ref="A210:J210"/>
    <mergeCell ref="A211:I211"/>
    <mergeCell ref="A212:I212"/>
    <mergeCell ref="A184:C184"/>
    <mergeCell ref="G184:H184"/>
    <mergeCell ref="I184:J184"/>
    <mergeCell ref="E185:F185"/>
    <mergeCell ref="G185:H185"/>
    <mergeCell ref="I185:J185"/>
    <mergeCell ref="A185:C185"/>
    <mergeCell ref="A186:H186"/>
    <mergeCell ref="I186:J186"/>
    <mergeCell ref="A187:J187"/>
    <mergeCell ref="A188:J188"/>
    <mergeCell ref="A189:J189"/>
    <mergeCell ref="A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A143:J143"/>
    <mergeCell ref="A144:J144"/>
    <mergeCell ref="A145:J145"/>
    <mergeCell ref="A146:J146"/>
    <mergeCell ref="B147:H147"/>
    <mergeCell ref="A148:H148"/>
    <mergeCell ref="B149:H149"/>
    <mergeCell ref="A150:H150"/>
    <mergeCell ref="B151:H151"/>
    <mergeCell ref="A205:J205"/>
    <mergeCell ref="A206:J206"/>
    <mergeCell ref="G207:J207"/>
    <mergeCell ref="B122:I122"/>
    <mergeCell ref="B123:I123"/>
    <mergeCell ref="A124:I124"/>
    <mergeCell ref="B125:I125"/>
    <mergeCell ref="A126:I126"/>
    <mergeCell ref="A127:J127"/>
    <mergeCell ref="A128:J128"/>
    <mergeCell ref="A129:J129"/>
    <mergeCell ref="A130:J130"/>
    <mergeCell ref="B131:I131"/>
    <mergeCell ref="B132:I132"/>
    <mergeCell ref="B133:I133"/>
    <mergeCell ref="A134:I134"/>
    <mergeCell ref="A135:J135"/>
    <mergeCell ref="A136:J136"/>
    <mergeCell ref="B137:I137"/>
    <mergeCell ref="B138:I138"/>
    <mergeCell ref="B139:I139"/>
    <mergeCell ref="B140:I140"/>
    <mergeCell ref="B141:I141"/>
    <mergeCell ref="A142:I142"/>
    <mergeCell ref="A199:J199"/>
    <mergeCell ref="A200:H200"/>
    <mergeCell ref="I200:J200"/>
    <mergeCell ref="A201:J201"/>
    <mergeCell ref="I202:J202"/>
    <mergeCell ref="A202:H202"/>
    <mergeCell ref="A203:J203"/>
    <mergeCell ref="A204:H204"/>
    <mergeCell ref="I204:J204"/>
    <mergeCell ref="I193:J193"/>
    <mergeCell ref="A193:G193"/>
    <mergeCell ref="A194:J194"/>
    <mergeCell ref="A195:G195"/>
    <mergeCell ref="I195:J195"/>
    <mergeCell ref="A196:G196"/>
    <mergeCell ref="I196:J196"/>
    <mergeCell ref="A197:J197"/>
    <mergeCell ref="A198:G198"/>
    <mergeCell ref="I198:J198"/>
    <mergeCell ref="A172:I172"/>
    <mergeCell ref="B173:I173"/>
    <mergeCell ref="B174:I174"/>
    <mergeCell ref="B175:I175"/>
    <mergeCell ref="B176:I176"/>
    <mergeCell ref="A191:E191"/>
    <mergeCell ref="F191:G191"/>
    <mergeCell ref="I191:J191"/>
    <mergeCell ref="A192:E192"/>
    <mergeCell ref="F192:G192"/>
    <mergeCell ref="I192:J192"/>
    <mergeCell ref="A190:J190"/>
    <mergeCell ref="A164:H164"/>
    <mergeCell ref="A165:C167"/>
    <mergeCell ref="D165:J165"/>
    <mergeCell ref="D166:J166"/>
    <mergeCell ref="D167:J167"/>
    <mergeCell ref="A168:J168"/>
    <mergeCell ref="A169:J169"/>
    <mergeCell ref="A170:J170"/>
    <mergeCell ref="A171:J171"/>
  </mergeCells>
  <pageMargins left="0.75" right="0.75" top="1" bottom="1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workbookViewId="0">
      <selection activeCell="K13" sqref="K13"/>
    </sheetView>
  </sheetViews>
  <sheetFormatPr defaultColWidth="12.625" defaultRowHeight="15" customHeight="1" x14ac:dyDescent="0.2"/>
  <cols>
    <col min="1" max="1" width="12.375" customWidth="1"/>
    <col min="2" max="2" width="35.5" customWidth="1"/>
    <col min="3" max="3" width="24.625" customWidth="1"/>
    <col min="4" max="4" width="17.25" customWidth="1"/>
    <col min="5" max="5" width="8.375" customWidth="1"/>
    <col min="6" max="6" width="8.875" customWidth="1"/>
    <col min="7" max="7" width="18.5" customWidth="1"/>
    <col min="8" max="26" width="7.625" customWidth="1"/>
  </cols>
  <sheetData>
    <row r="1" spans="1:7" ht="36.75" customHeight="1" x14ac:dyDescent="0.2">
      <c r="A1" s="469" t="s">
        <v>728</v>
      </c>
      <c r="B1" s="292"/>
      <c r="C1" s="292"/>
      <c r="D1" s="292"/>
      <c r="E1" s="292"/>
      <c r="F1" s="292"/>
      <c r="G1" s="289"/>
    </row>
    <row r="2" spans="1:7" x14ac:dyDescent="0.25">
      <c r="F2" s="240"/>
    </row>
    <row r="3" spans="1:7" ht="25.5" customHeight="1" x14ac:dyDescent="0.2">
      <c r="A3" s="470" t="s">
        <v>729</v>
      </c>
      <c r="B3" s="292"/>
      <c r="C3" s="292"/>
      <c r="D3" s="292"/>
      <c r="E3" s="292"/>
      <c r="F3" s="292"/>
      <c r="G3" s="289"/>
    </row>
    <row r="4" spans="1:7" ht="36" x14ac:dyDescent="0.2">
      <c r="A4" s="241" t="s">
        <v>730</v>
      </c>
      <c r="B4" s="241" t="s">
        <v>731</v>
      </c>
      <c r="C4" s="241" t="s">
        <v>732</v>
      </c>
      <c r="D4" s="241" t="s">
        <v>733</v>
      </c>
      <c r="E4" s="241" t="s">
        <v>734</v>
      </c>
      <c r="F4" s="242" t="s">
        <v>735</v>
      </c>
      <c r="G4" s="243" t="s">
        <v>736</v>
      </c>
    </row>
    <row r="5" spans="1:7" ht="14.25" x14ac:dyDescent="0.2">
      <c r="A5" s="471" t="s">
        <v>737</v>
      </c>
      <c r="B5" s="474" t="s">
        <v>738</v>
      </c>
      <c r="C5" s="477" t="s">
        <v>739</v>
      </c>
      <c r="D5" s="244" t="s">
        <v>740</v>
      </c>
      <c r="E5" s="244">
        <v>1</v>
      </c>
      <c r="F5" s="245"/>
      <c r="G5" s="246">
        <f t="shared" ref="G5:G10" si="0">E5*F5</f>
        <v>0</v>
      </c>
    </row>
    <row r="6" spans="1:7" ht="14.25" x14ac:dyDescent="0.2">
      <c r="A6" s="472"/>
      <c r="B6" s="475"/>
      <c r="C6" s="475"/>
      <c r="D6" s="244" t="s">
        <v>741</v>
      </c>
      <c r="E6" s="244">
        <v>2</v>
      </c>
      <c r="F6" s="245"/>
      <c r="G6" s="246">
        <f t="shared" si="0"/>
        <v>0</v>
      </c>
    </row>
    <row r="7" spans="1:7" ht="14.25" x14ac:dyDescent="0.2">
      <c r="A7" s="472"/>
      <c r="B7" s="475"/>
      <c r="C7" s="475"/>
      <c r="D7" s="244" t="s">
        <v>742</v>
      </c>
      <c r="E7" s="244">
        <v>2</v>
      </c>
      <c r="F7" s="245"/>
      <c r="G7" s="246">
        <f t="shared" si="0"/>
        <v>0</v>
      </c>
    </row>
    <row r="8" spans="1:7" ht="14.25" x14ac:dyDescent="0.2">
      <c r="A8" s="472"/>
      <c r="B8" s="475"/>
      <c r="C8" s="475"/>
      <c r="D8" s="244" t="s">
        <v>741</v>
      </c>
      <c r="E8" s="244">
        <v>2</v>
      </c>
      <c r="F8" s="245"/>
      <c r="G8" s="246">
        <f t="shared" si="0"/>
        <v>0</v>
      </c>
    </row>
    <row r="9" spans="1:7" ht="14.25" x14ac:dyDescent="0.2">
      <c r="A9" s="472"/>
      <c r="B9" s="476"/>
      <c r="C9" s="476"/>
      <c r="D9" s="244" t="s">
        <v>740</v>
      </c>
      <c r="E9" s="244">
        <v>2</v>
      </c>
      <c r="F9" s="245"/>
      <c r="G9" s="246">
        <f t="shared" si="0"/>
        <v>0</v>
      </c>
    </row>
    <row r="10" spans="1:7" ht="27.75" customHeight="1" x14ac:dyDescent="0.2">
      <c r="A10" s="473"/>
      <c r="B10" s="247" t="s">
        <v>743</v>
      </c>
      <c r="C10" s="248" t="s">
        <v>739</v>
      </c>
      <c r="D10" s="244" t="s">
        <v>744</v>
      </c>
      <c r="E10" s="244">
        <v>2</v>
      </c>
      <c r="F10" s="245"/>
      <c r="G10" s="246">
        <f t="shared" si="0"/>
        <v>0</v>
      </c>
    </row>
    <row r="11" spans="1:7" ht="24.75" customHeight="1" x14ac:dyDescent="0.2">
      <c r="A11" s="464" t="s">
        <v>745</v>
      </c>
      <c r="B11" s="465"/>
      <c r="C11" s="465"/>
      <c r="D11" s="465"/>
      <c r="E11" s="465"/>
      <c r="F11" s="466"/>
      <c r="G11" s="249">
        <f>SUM(G5:G9)</f>
        <v>0</v>
      </c>
    </row>
    <row r="12" spans="1:7" ht="24" customHeight="1" x14ac:dyDescent="0.2">
      <c r="A12" s="478" t="s">
        <v>746</v>
      </c>
      <c r="B12" s="337"/>
      <c r="C12" s="337"/>
      <c r="D12" s="337"/>
      <c r="E12" s="337"/>
      <c r="F12" s="479"/>
      <c r="G12" s="250">
        <f>G10</f>
        <v>0</v>
      </c>
    </row>
    <row r="13" spans="1:7" ht="35.25" customHeight="1" x14ac:dyDescent="0.2">
      <c r="A13" s="251" t="s">
        <v>747</v>
      </c>
      <c r="B13" s="252" t="s">
        <v>748</v>
      </c>
      <c r="C13" s="253" t="s">
        <v>739</v>
      </c>
      <c r="D13" s="253" t="s">
        <v>749</v>
      </c>
      <c r="E13" s="253">
        <v>1</v>
      </c>
      <c r="F13" s="254"/>
      <c r="G13" s="246">
        <f>E13*F13</f>
        <v>0</v>
      </c>
    </row>
    <row r="14" spans="1:7" ht="26.25" customHeight="1" x14ac:dyDescent="0.2">
      <c r="A14" s="464" t="s">
        <v>750</v>
      </c>
      <c r="B14" s="465"/>
      <c r="C14" s="465"/>
      <c r="D14" s="465"/>
      <c r="E14" s="465"/>
      <c r="F14" s="466"/>
      <c r="G14" s="249">
        <f>SUM(G13)</f>
        <v>0</v>
      </c>
    </row>
    <row r="15" spans="1:7" ht="14.25" x14ac:dyDescent="0.2">
      <c r="A15" s="467" t="s">
        <v>751</v>
      </c>
      <c r="B15" s="465"/>
      <c r="C15" s="465"/>
      <c r="D15" s="465"/>
      <c r="E15" s="465"/>
      <c r="F15" s="466"/>
      <c r="G15" s="255">
        <v>2</v>
      </c>
    </row>
    <row r="16" spans="1:7" ht="14.25" x14ac:dyDescent="0.2">
      <c r="A16" s="467" t="s">
        <v>751</v>
      </c>
      <c r="B16" s="465"/>
      <c r="C16" s="465"/>
      <c r="D16" s="465"/>
      <c r="E16" s="465"/>
      <c r="F16" s="466"/>
      <c r="G16" s="255">
        <v>1</v>
      </c>
    </row>
    <row r="17" spans="1:7" ht="15.75" x14ac:dyDescent="0.2">
      <c r="A17" s="464" t="s">
        <v>752</v>
      </c>
      <c r="B17" s="465"/>
      <c r="C17" s="465"/>
      <c r="D17" s="465"/>
      <c r="E17" s="465"/>
      <c r="F17" s="466"/>
      <c r="G17" s="256">
        <f t="shared" ref="G17:G18" si="1">G11*G15</f>
        <v>0</v>
      </c>
    </row>
    <row r="18" spans="1:7" ht="15.75" x14ac:dyDescent="0.2">
      <c r="A18" s="464" t="s">
        <v>753</v>
      </c>
      <c r="B18" s="465"/>
      <c r="C18" s="465"/>
      <c r="D18" s="465"/>
      <c r="E18" s="465"/>
      <c r="F18" s="466"/>
      <c r="G18" s="256">
        <f t="shared" si="1"/>
        <v>0</v>
      </c>
    </row>
    <row r="19" spans="1:7" ht="15.75" x14ac:dyDescent="0.2">
      <c r="A19" s="464" t="s">
        <v>754</v>
      </c>
      <c r="B19" s="465"/>
      <c r="C19" s="465"/>
      <c r="D19" s="465"/>
      <c r="E19" s="465"/>
      <c r="F19" s="466"/>
      <c r="G19" s="256">
        <f>G13*G15</f>
        <v>0</v>
      </c>
    </row>
    <row r="20" spans="1:7" x14ac:dyDescent="0.25">
      <c r="F20" s="240"/>
    </row>
    <row r="21" spans="1:7" ht="15.75" customHeight="1" x14ac:dyDescent="0.25">
      <c r="F21" s="240"/>
    </row>
    <row r="22" spans="1:7" ht="15.75" customHeight="1" x14ac:dyDescent="0.25">
      <c r="F22" s="240"/>
    </row>
    <row r="23" spans="1:7" ht="26.25" customHeight="1" x14ac:dyDescent="0.2">
      <c r="A23" s="468" t="s">
        <v>755</v>
      </c>
      <c r="B23" s="292"/>
      <c r="C23" s="292"/>
      <c r="D23" s="292"/>
      <c r="E23" s="292"/>
      <c r="F23" s="289"/>
      <c r="G23" s="257">
        <f>SUM(G17:G19)</f>
        <v>0</v>
      </c>
    </row>
    <row r="24" spans="1:7" ht="15.75" customHeight="1" x14ac:dyDescent="0.2"/>
    <row r="25" spans="1:7" ht="24.75" customHeight="1" x14ac:dyDescent="0.2">
      <c r="A25" s="468" t="s">
        <v>756</v>
      </c>
      <c r="B25" s="292"/>
      <c r="C25" s="292"/>
      <c r="D25" s="292"/>
      <c r="E25" s="292"/>
      <c r="F25" s="289"/>
      <c r="G25" s="258">
        <f>(G23/12)*20</f>
        <v>0</v>
      </c>
    </row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15">
    <mergeCell ref="A19:F19"/>
    <mergeCell ref="A23:F23"/>
    <mergeCell ref="A25:F25"/>
    <mergeCell ref="A1:G1"/>
    <mergeCell ref="A3:G3"/>
    <mergeCell ref="A5:A10"/>
    <mergeCell ref="B5:B9"/>
    <mergeCell ref="C5:C9"/>
    <mergeCell ref="A11:F11"/>
    <mergeCell ref="A12:F12"/>
    <mergeCell ref="A14:F14"/>
    <mergeCell ref="A15:F15"/>
    <mergeCell ref="A16:F16"/>
    <mergeCell ref="A17:F17"/>
    <mergeCell ref="A18:F18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Aba Carregamento</vt:lpstr>
      <vt:lpstr>Insumos</vt:lpstr>
      <vt:lpstr>Qtd postos 20%</vt:lpstr>
      <vt:lpstr>Qtd postos 40%</vt:lpstr>
      <vt:lpstr>Valor posto 20%</vt:lpstr>
      <vt:lpstr>Valor posto 40%</vt:lpstr>
      <vt:lpstr> Aux. Serviços Gerais </vt:lpstr>
      <vt:lpstr>Encarregado 40%</vt:lpstr>
      <vt:lpstr>Serviços Eventuais</vt:lpstr>
      <vt:lpstr>Resumo da Proposta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silmarcastro</dc:creator>
  <cp:lastModifiedBy>RS</cp:lastModifiedBy>
  <dcterms:created xsi:type="dcterms:W3CDTF">2019-05-20T13:33:00Z</dcterms:created>
  <dcterms:modified xsi:type="dcterms:W3CDTF">2021-10-20T07:23:33Z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1046-10.2.0.6080</vt:lpwstr>
  </property>
</Properties>
</file>